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activeTab="0"/>
  </bookViews>
  <sheets>
    <sheet name="Phụ lục 01" sheetId="1" r:id="rId1"/>
    <sheet name="Phụ lục 02" sheetId="2" r:id="rId2"/>
  </sheets>
  <definedNames>
    <definedName name="_xlnm.Print_Titles" localSheetId="1">'Phụ lục 02'!$18:$19</definedName>
  </definedNames>
  <calcPr fullCalcOnLoad="1"/>
</workbook>
</file>

<file path=xl/sharedStrings.xml><?xml version="1.0" encoding="utf-8"?>
<sst xmlns="http://schemas.openxmlformats.org/spreadsheetml/2006/main" count="584" uniqueCount="230">
  <si>
    <t>Căn cứ xây dựng dự toán</t>
  </si>
  <si>
    <t>TT</t>
  </si>
  <si>
    <t>Hạng mục</t>
  </si>
  <si>
    <t>Chi phí 1 ha</t>
  </si>
  <si>
    <t>Ghi chú</t>
  </si>
  <si>
    <t>ĐVT</t>
  </si>
  <si>
    <t>Định
 mức</t>
  </si>
  <si>
    <t>Đơn giá (đồng)</t>
  </si>
  <si>
    <t>Thành tiền (đồng/ha)</t>
  </si>
  <si>
    <t>A</t>
  </si>
  <si>
    <t>CHI PHÍ XÂY DỰNG</t>
  </si>
  <si>
    <t>I</t>
  </si>
  <si>
    <t>Chi phí trực tiếp</t>
  </si>
  <si>
    <t>Phần chi phí vật tư</t>
  </si>
  <si>
    <t>1.1</t>
  </si>
  <si>
    <t>Cây giống</t>
  </si>
  <si>
    <t>-</t>
  </si>
  <si>
    <t>cây</t>
  </si>
  <si>
    <t>1.2</t>
  </si>
  <si>
    <t>Phân bón NPK</t>
  </si>
  <si>
    <t>Năm thứ nhất</t>
  </si>
  <si>
    <t>Kg</t>
  </si>
  <si>
    <t>Phân bón được phép lưu hành tại Việt Nam</t>
  </si>
  <si>
    <t>Năm thứ hai</t>
  </si>
  <si>
    <t>Năm thứ ba</t>
  </si>
  <si>
    <t>1.3</t>
  </si>
  <si>
    <t>Thuốc chống mối SARGENT 6RG (năm thứ nhất)</t>
  </si>
  <si>
    <t>Phần chi phí máy</t>
  </si>
  <si>
    <t>2.1</t>
  </si>
  <si>
    <t>Vận chuyển cây con từ vườn ươm đến nơi tập kết</t>
  </si>
  <si>
    <t>Không được vỡ bầu</t>
  </si>
  <si>
    <t>2.2</t>
  </si>
  <si>
    <t>2.4</t>
  </si>
  <si>
    <t>Máy móc, thiết bị, dụng cụ trang bị bảo hộ phụ trợ</t>
  </si>
  <si>
    <t>%</t>
  </si>
  <si>
    <t>Công</t>
  </si>
  <si>
    <t>3.1</t>
  </si>
  <si>
    <t>3.1.1</t>
  </si>
  <si>
    <t>Trồng rừng</t>
  </si>
  <si>
    <t>Phát dọn thực bì toàn diện trên lô (thủ công)</t>
  </si>
  <si>
    <t>Phát thực bì toàn diện, phát sát gốc và băm dập những đoạn ngắn</t>
  </si>
  <si>
    <t>TR.05</t>
  </si>
  <si>
    <t>Cuốc hố theo đúng sơ đồ thiết kế; khi cuốc hố, để phần đất mặt tơi xốp một bên và phần đất phía dưới hố một bên</t>
  </si>
  <si>
    <t>TR.09</t>
  </si>
  <si>
    <t>Lấp hố</t>
  </si>
  <si>
    <t>TR.16</t>
  </si>
  <si>
    <t>Vận chuyển và bón phân, thuốc bảo vệ thực vật</t>
  </si>
  <si>
    <t>TR.14</t>
  </si>
  <si>
    <t>Vận chuyển cây con và trồng</t>
  </si>
  <si>
    <t>Vận chuyển cây lên vị trí trồng, rải cây theo hố. Trồng cây ngay ngắn, lấp đất lèn chặt theo hướng dẫn kỹ thuật</t>
  </si>
  <si>
    <t>Vận chuyển cây con và trồng dặm</t>
  </si>
  <si>
    <t>Vận chuyển cây, rải cây theo hố trồng dặm. Trồng cây ngay ngắn, lấp đất lèn chặt theo hướng dẫn kỹ thuật</t>
  </si>
  <si>
    <t>3.1.2</t>
  </si>
  <si>
    <t>Chăm sóc năm thứ nhất</t>
  </si>
  <si>
    <t>TR.27</t>
  </si>
  <si>
    <t>Phát các loại thực bì (dây leo, cỏ dại…) phát sát gốc. Băm dập, rải đều trên toàn bộ diện tích; tỉa một số cành sâu bệnh cong queo</t>
  </si>
  <si>
    <t>TR.31</t>
  </si>
  <si>
    <t>TR.28</t>
  </si>
  <si>
    <t>Như phát chăm sóc lần 1</t>
  </si>
  <si>
    <t>TR.50</t>
  </si>
  <si>
    <t>Bảo vệ rừng</t>
  </si>
  <si>
    <t>3.2</t>
  </si>
  <si>
    <t>Vận chuyển và bón phân</t>
  </si>
  <si>
    <t>TR.29</t>
  </si>
  <si>
    <t>TR.30</t>
  </si>
  <si>
    <t>Năm thứ tư</t>
  </si>
  <si>
    <t>Phát chăm sóc</t>
  </si>
  <si>
    <t>TR.37</t>
  </si>
  <si>
    <t>Làm đường băng cản lửa</t>
  </si>
  <si>
    <t>Phát dọn thực bì và dọn cỏ trên đường băng, xử lý vật liệu cháy ra khỏi đường băng cản lửa</t>
  </si>
  <si>
    <t>Năm thứ năm</t>
  </si>
  <si>
    <t>Thiết kế</t>
  </si>
  <si>
    <t>Thu thập tài liệu, khảo sát các yếu tố tự nhiên, xây dựng hồ sơ thiết kế, dự toán các biện pháp lâm sinh theo quy định</t>
  </si>
  <si>
    <t xml:space="preserve">Lao động quản lý, giám sát, chỉ đạo kỹ thuật, nghiệm thu </t>
  </si>
  <si>
    <t>II</t>
  </si>
  <si>
    <t>B</t>
  </si>
  <si>
    <t>C</t>
  </si>
  <si>
    <t xml:space="preserve">CHI PHÍ KHÁC </t>
  </si>
  <si>
    <t>Điểm c, khoản 1, Điều 46 Nghị định 99/2021/NĐ-CP</t>
  </si>
  <si>
    <t>D</t>
  </si>
  <si>
    <t>- Nghị định số 99/2021/NĐ-CP ngày 11 tháng 11 năm 2021 của Chính phủ quy định về quản lý, thanh toán, quyết toán, dự án sử dụng vốn đầu tư công;</t>
  </si>
  <si>
    <t xml:space="preserve"> - Thông tư số 25/2022/TT-BNNPTNT ngày 30 tháng 12 năm 2022 của Bộ trưởng Bộ Nông nghiệp và Phát triển nông thôn Quy định về trồng rừng thay thế khi chuyển mục đích sử dụng rừng sang mục đích khác;</t>
  </si>
  <si>
    <t xml:space="preserve"> - Thông tư số 22/2023/TT-BNNPTNT ngày 15/12/2023 của Bộ trưởng Bộ Nông nghiệp và Phát triển nông thôn Sửa đổi, bổ sung một số điều của các Thông tư trong lĩnh vực lâm nghiệp;</t>
  </si>
  <si>
    <t xml:space="preserve"> - Giá cả vật tư, nhân công, chi phí máy thực tế ở thời điểm hiện tại.</t>
  </si>
  <si>
    <t>Dự toán đơn giá:</t>
  </si>
  <si>
    <t>Dẫy cỏ xung quanh miệng hố, đập nhỏ những cục đất to, cuốc xới đất mặt và lấp hố</t>
  </si>
  <si>
    <t>Vận chuyển phân thuốc bảo vệ thực vật đến hố trồng bón theo đúng tỉ lệ quy định</t>
  </si>
  <si>
    <t>Rẫy sạch cỏ và xới quanh gốc; gốc vun hình mu rùa</t>
  </si>
  <si>
    <t>Phát chăm sóc (lần 1)</t>
  </si>
  <si>
    <t>Phát chăm sóc (lần 2)</t>
  </si>
  <si>
    <t>Làm đường băng trắng cản lửa thủ công</t>
  </si>
  <si>
    <t>Phát chăm sóc (lần 3)</t>
  </si>
  <si>
    <t>Vận chuyển phân bón + thuốc bảo vệ thực vật từ đại lý đến nơi tập kết</t>
  </si>
  <si>
    <t>Yêu cầu kỹ thuật</t>
  </si>
  <si>
    <t>Xử lý thực bì</t>
  </si>
  <si>
    <t>Phần vật tư</t>
  </si>
  <si>
    <t>Cây giống trồng chính</t>
  </si>
  <si>
    <t>Cây</t>
  </si>
  <si>
    <t>Cây giống trồng dặm năm thứ nhất</t>
  </si>
  <si>
    <t>Cây giống trồng dặm năm thứ hai</t>
  </si>
  <si>
    <t>Cây giống trồng dặm năm thứ ba</t>
  </si>
  <si>
    <t>Cọc cắm đỡ cây</t>
  </si>
  <si>
    <t>Cái</t>
  </si>
  <si>
    <t>Cây con có bầu kích thước 18x22 cm đáp ứng theo tiêu chuẩn Việt Nam (TCVN) hoặc tiêu chuẩn về cơ sở cây giống</t>
  </si>
  <si>
    <t>Cọc dài dưới 1,5m; đường kính 4 - 5 cm</t>
  </si>
  <si>
    <t>Xử lý thực bì theo yêu cầu kỹ thuật, thu dọn hiện trường</t>
  </si>
  <si>
    <t>Vận chuyển và rải cây con</t>
  </si>
  <si>
    <t>Vận chuyển cây giống tới địa điểm trồng, rải cây theo từng hố, thu dọn hiện trường sau thi công</t>
  </si>
  <si>
    <t>TR.51</t>
  </si>
  <si>
    <t>TR.56</t>
  </si>
  <si>
    <t>TR.61</t>
  </si>
  <si>
    <t>Cuốc hố, lấp hố và trồng kích thước hố 40x40x40 cm</t>
  </si>
  <si>
    <t>Cuốc hố, lấp hố và trồng theo đúng yêu cầu kỹ thuật. Thu dọn hiện trường sau khi thi công</t>
  </si>
  <si>
    <t>Cắm cọc buộc giữ cây</t>
  </si>
  <si>
    <t>TR.63</t>
  </si>
  <si>
    <t>Chuẩn bị cọc, dụng cụ, vận chuyển cọc đến địa điểm trồng, buộc giữ cây theo đúng thiết kế. Thu dọn hiện trường sau thi công</t>
  </si>
  <si>
    <t>Chăm sóc</t>
  </si>
  <si>
    <t>TR.71</t>
  </si>
  <si>
    <t>TR.66</t>
  </si>
  <si>
    <t>Kiểm tra cây chết, vận chuyển cây, trồng dặm. Thu dọn hiện trường sau thi công</t>
  </si>
  <si>
    <t>TR.72</t>
  </si>
  <si>
    <t>TR.73</t>
  </si>
  <si>
    <t>Chăm sóc năm thứ 4</t>
  </si>
  <si>
    <t>TR.74</t>
  </si>
  <si>
    <t>Kiểm tra, bảo vệ, hạn chế mọi hoạt động nuôi trồng đánh bắt thủy hải sản. Đi lại của thuyền bè,… trong khu vực trồng cây, bảo vệ chống phá hoại cây trồng</t>
  </si>
  <si>
    <t>Chăm sóc năm thứ 5</t>
  </si>
  <si>
    <t>Chăm sóc năm thứ 3</t>
  </si>
  <si>
    <t>Chăm sóc năm thứ 2</t>
  </si>
  <si>
    <t>Chăm sóc năm thứ 1</t>
  </si>
  <si>
    <t>2.1.1</t>
  </si>
  <si>
    <t>2.1.2</t>
  </si>
  <si>
    <t xml:space="preserve"> - Thông tư số 29/2018/TT-BNNPTNT ngày 16 tháng 11 năm 2018 của Bộ trưởng Bộ Nông nghiệp và Phát triển nông thôn Quy định về các biện pháp lâm sinh;</t>
  </si>
  <si>
    <t xml:space="preserve"> - Thông tư số 17/2022/TT-BNNPTNT ngày 27 tháng 10 năm 2022 của Bộ trưởng Bộ Nông nghiệp và Phát triển nông thôn ban hành Thông tư sửa đổi, bổ sung một số điều của Thông tư số 29/2018/TT-BNNPTNT ngày 16 tháng 11 năm 2018 của Bộ trưởng Bộ Nông nghiệp và Phát triển nông thôn quy định về các biện pháp lâm sinh;</t>
  </si>
  <si>
    <t>Bắt Hà, cắm lại cọc, vớt bèo rác đè lên cây, buộc giữ cây theo đúng thiết kế. Thu dọn hiện trường sau khi thi công</t>
  </si>
  <si>
    <t>Dự toán đơn giá</t>
  </si>
  <si>
    <t>- Nghị định số 156/2018/NĐ-CP ngày 16 tháng 11 năm 2018 của Chính phủ Quy định chi tiết thi hành một số điều của Luật Lâm nghiệp năm 2017;</t>
  </si>
  <si>
    <t>- Mật độ trồng: 833 cây/ha; Loài cây trồng, gồm các loài cây Dầu rái, Sao đen, Giáng hương…. phù hợp với từng địa phương; kích thước hố trồng (50 x 50 x 50) cm</t>
  </si>
  <si>
    <t>Tiêu chuẩn kỹ thuật</t>
  </si>
  <si>
    <t>Cây giống trồng dặm năm thứ nhất (10%)</t>
  </si>
  <si>
    <t>Cây giống trồng dặm năm thứ 2 (10%)</t>
  </si>
  <si>
    <t>Cây giống trồng dặm năm thứ 3 (10%)</t>
  </si>
  <si>
    <t>Được phép lưu hành 
tại Việt Nam</t>
  </si>
  <si>
    <t>5% so với vật tư thiết yếu</t>
  </si>
  <si>
    <t>Phần chi phí nhân công lao động trực tiếp</t>
  </si>
  <si>
    <t>TR.19</t>
  </si>
  <si>
    <t>TR.26</t>
  </si>
  <si>
    <t>Xới vun gốc đường kính  0,8 - 1,0m (lần 1)</t>
  </si>
  <si>
    <t>Xới vun gốc đường kính  0,8 - 1,0m (lần 2)</t>
  </si>
  <si>
    <t>Canh gác, phát hiện, ngăn ngừa sự phá hoại của người và gia súc, phát hiện sâu bệnh hại, lửa rừng để có biện pháp ngăn chặn kịp thời</t>
  </si>
  <si>
    <t>Tiêu chuẩn kỹ thuật
 như năm thứ nhất</t>
  </si>
  <si>
    <t>Xới vun gốc đường kính từ 0,8 - 1,0m (lần 1)</t>
  </si>
  <si>
    <t>Xới vun gốc đường kính từ 0,8 - 1,0m (lần 2)</t>
  </si>
  <si>
    <t>3.3</t>
  </si>
  <si>
    <t>Tiêu chuẩn kỹ thuật 
như năm thứ hai</t>
  </si>
  <si>
    <t>Xới vun gốc đường kính 0,8 - 1,0m (lần 2)</t>
  </si>
  <si>
    <t>3.4</t>
  </si>
  <si>
    <t>Tiêu chuẩn kỹ thuật 
như năm thứ ba</t>
  </si>
  <si>
    <t>3.5</t>
  </si>
  <si>
    <t>Tiêu chuẩn kỹ thuật 
như năm thứ tư</t>
  </si>
  <si>
    <t>CHI PHÍ QUẢN LÝ</t>
  </si>
  <si>
    <t>Giám sát, chỉ đạo kỹ thuật</t>
  </si>
  <si>
    <t>2.3</t>
  </si>
  <si>
    <t>2.5</t>
  </si>
  <si>
    <t>Lập hồ sơ mời thầu, đánh giá hồ sơ dự thầu  =0,361%* A</t>
  </si>
  <si>
    <t>Bảng 2.19 Thông tư 12/2021 ngày 31/08/2021 của Bộ Xây dựng</t>
  </si>
  <si>
    <t>Thẩm tra thiết kế xây dựng = 0,183% * A</t>
  </si>
  <si>
    <t>Bảng 2.17 Thông tư 12/2021 ngày 31/08/2021 của Bộ Xây dựng</t>
  </si>
  <si>
    <t>Chi phí thẩm tra, phê duyệt quyết toán =0,57% * (A+B+C)</t>
  </si>
  <si>
    <t>Theo dõi, kiểm tra trong quá trình thi công của cơ quan QLNN có thẩm quyền = 20%*C</t>
  </si>
  <si>
    <t>Điều 16 Thông tư số 10/2021/TT-BXD ngày 25/8/2021 của Bộ Xây dựng</t>
  </si>
  <si>
    <t>E</t>
  </si>
  <si>
    <t>Chi phí dự phòng phát sinh = 5% *(A+B+C+D)</t>
  </si>
  <si>
    <t>Chi phí dự phòng do trượt giá = 5% *A</t>
  </si>
  <si>
    <t>Cây giống trồng chính (833 cây/ha)</t>
  </si>
  <si>
    <t>Theo tiêu chuẩn Việt Nam hoặc cơ sở về cây giống; Dg&gt;0,8 cm, Hvn&gt;1,0m, Bầu 18x 22 cm, tuổi cây &gt;14 tháng, cây cách cây 3m, hàng cách hàng 3m</t>
  </si>
  <si>
    <t>Thuốc chống mối được phép lưu hành tại Việt Nam</t>
  </si>
  <si>
    <t>Cuốc hố (50 x50 x50) cm</t>
  </si>
  <si>
    <t>Theo đơn giá thị trường (đã bao gồm thuế VAT)</t>
  </si>
  <si>
    <t xml:space="preserve">CHI PHÍ DỰ PHÒNG </t>
  </si>
  <si>
    <t>Nhân công lao động trực tiếp</t>
  </si>
  <si>
    <t>Chi phí chung</t>
  </si>
  <si>
    <t>5% chi phí trực tiếp</t>
  </si>
  <si>
    <t xml:space="preserve">Chi phí chung </t>
  </si>
  <si>
    <t xml:space="preserve">Đơn giá nhân công theo Quyết định số 08/2024/QĐ-UBND </t>
  </si>
  <si>
    <t>Phụ lục 01</t>
  </si>
  <si>
    <t>Phụ lục 02</t>
  </si>
  <si>
    <t>TỔNG SUẤT ĐẦU TƯ/1ha</t>
  </si>
  <si>
    <t xml:space="preserve">DỰ TOÁN ĐƠN GIÁ TRỒNG RỪNG THAY THẾ TRÊN ĐỊA BÀN TỈNH ĐỒNG NAI ĐỐI VỚI TRỒNG RỪNG TRÊN ĐẤT NGẬP MẶN
</t>
  </si>
  <si>
    <t>CHI PHÍ TƯ VẤN ĐẦU TƯ XÂY DỰNG (Lao động gián tiếp)</t>
  </si>
  <si>
    <t>Thuyết minh</t>
  </si>
  <si>
    <t>Rà phá bom mìn, vật nổ</t>
  </si>
  <si>
    <t>Mã hiệu</t>
  </si>
  <si>
    <t>-Thông tư số 10/2021/TT-BXD ngày 25/8/2021 của Bộ Xây dựng Hướng dẫn một số điều và biện pháp thi hành Nghị định số 06/2021/NĐ-CP ngày 26 tháng 01 năm 2021 và Nghị định số 44/2016/NĐ-CP ngày 15 tháng 5 năm 2016 của Chính phủ;</t>
  </si>
  <si>
    <t>- Thông tư số 12/2021/TT-BXD ngày 31 thang 08 năm 2021 của Bộ Xây dựng Ban hành định mức xây dựng;</t>
  </si>
  <si>
    <r>
      <t xml:space="preserve"> - Thông tư số 21/2023/TT-BNNPTNT ngày 15 tháng 12 năm 2023 của Bộ trưởng Bộ Nông nghiệp và Phát triển nông thôn Quy định một số định mức kinh tế - kỹ thuật về Lâm nghiệp (sau đay gọi tắt Thông tư số 21/2023/TT-BNNPTNT), Áp dụng điều kiện độ dốc &lt;20</t>
    </r>
    <r>
      <rPr>
        <vertAlign val="superscript"/>
        <sz val="13"/>
        <rFont val="Times New Roman"/>
        <family val="1"/>
      </rPr>
      <t>o</t>
    </r>
    <r>
      <rPr>
        <sz val="13"/>
        <rFont val="Times New Roman"/>
        <family val="1"/>
      </rPr>
      <t>, hệ số 1,0 cho đất nhóm 3, thực bì phát vỡ nhóm 2, cự ly di chuyển 1-2km;</t>
    </r>
  </si>
  <si>
    <t xml:space="preserve"> DỰ TOÁN ĐƠN GIÁ TRỒNG RỪNG THAY THẾ TRÊN ĐỊA BÀN TỈNH ĐỒNG NAI ĐỐI VỚI TRỒNG RỪNG TRÊN CẠN
</t>
  </si>
  <si>
    <t xml:space="preserve"> - Quyết định số 08/2024/QĐ-UBND ngày 22 tháng 01 năm 2024 của UBND tỉnh Đồng Nai ban hành đơn giá ngày công lao động trong các hoạt động lâm nghiệp trên địa bàn tỉnh Đồng Nai (sau đây gọi tắt Quyết định 08/2024/QĐ-UBND); áp dụng theo vùng I, phụ cấp khu vực 40%, phụ lục I</t>
  </si>
  <si>
    <t>a</t>
  </si>
  <si>
    <t>b</t>
  </si>
  <si>
    <t>c</t>
  </si>
  <si>
    <t>d</t>
  </si>
  <si>
    <t>TR.01</t>
  </si>
  <si>
    <t>đ</t>
  </si>
  <si>
    <t>e</t>
  </si>
  <si>
    <t>- Đơn giá nhân công theo Quyết định số 08/2024/QĐ-UBND;
- Định mức theo Thông tư số 21/2023/TT-BNNPTNT</t>
  </si>
  <si>
    <t>- Theo đơn giá cây trồng theo thị trường (đã bao gồm vận chuyển);
- Mật độ trồng (cây/ha) theo Quyết định 3379/QĐ-UBND ngày 22/12/2023 của UBND tỉnh</t>
  </si>
  <si>
    <t>g</t>
  </si>
  <si>
    <t>h</t>
  </si>
  <si>
    <t>i</t>
  </si>
  <si>
    <t xml:space="preserve"> - Thông tư số 15/2019/TT-BNNPTNT ngày 30 tháng 10 năm 2019 của Bộ trưởng Bộ Nông nghiệp và Phát triển nông thôn Hướng dẫn một số nội dung quản lý công trình lâm sinh (sau đây gọi tắt Thông tư số 15/2019/TT-BNNPTNT);</t>
  </si>
  <si>
    <t>Thông tư số 15/2019/TT-BNNPTNT</t>
  </si>
  <si>
    <t xml:space="preserve"> Theo Thông tư số 15/2019/TT-BNNPTNT</t>
  </si>
  <si>
    <t>Định mức được xác định bằng 3% nhân công trực tiếp theo Thông tư số 15/2019/TT-BNNPTNT và Thông tư số 21/2023/TT-BNNPTNT</t>
  </si>
  <si>
    <t>Lao động quản lý, nghiệm thu</t>
  </si>
  <si>
    <t>TR.38</t>
  </si>
  <si>
    <t>Thiết kế trồng rừng</t>
  </si>
  <si>
    <t>TR.39</t>
  </si>
  <si>
    <t>Thiết kế chăm sóc rừng cho 05 năm</t>
  </si>
  <si>
    <t>Định mức được xác định bằng 7% nhân công trực tiếp theo bảng định mức lao động gián tiếp Thông tư số 21/2023/TT-BNNPTNT</t>
  </si>
  <si>
    <t>Lập hồ sơ mời thầu, đánh giá hồ sơ dự thầu  =0,361%* A (CPXD)</t>
  </si>
  <si>
    <t>Thẩm tra thiết kế xây dựng = 0,183% * A (CPXD)</t>
  </si>
  <si>
    <t>Mục a, khoản 6, điều 5, Thông tư số 15/2019/TT-BNNPTNT</t>
  </si>
  <si>
    <t>Mục b, khoản 6, điều 5, Thông tư số 15/2019/TT-BNNPTNT</t>
  </si>
  <si>
    <t xml:space="preserve"> - Thông tư số 21/2023/TT-BNNPTNT ngày 15 tháng 12 năm 2023 của Bộ trưởng Bộ Nông nghiệp và Phát triển nông thôn Quy định một số định mức kinh tế - kỹ thuật về Lâm nghiệp (sau đay gọi tắt Thông tư số 21/2023/TT-BNNPTNT), Áp dụng Hệ số 1,0 cho điều kiện gây trồng nhóm 2, cự ly di chuyển 0,5 - 1km;</t>
  </si>
  <si>
    <t>- Đơn giá theo thị trường (bao gồm cả vận chuyển đến nơi tập kết và thuế VAT);
- Mật độ trồng theo Thông tư số 21/2023-BNNPTNT</t>
  </si>
  <si>
    <t>Giá thị trường; định mức theo TT21</t>
  </si>
  <si>
    <t xml:space="preserve"> - Giá cả vật tư, nhân công, chi phí máy thực tế ở thời điểm hiện tại; Mật độ trồng 4.400 cây/ha.</t>
  </si>
  <si>
    <t>Thông tư số 21/2023-BNNPTNT</t>
  </si>
  <si>
    <t>(Ban hành kèm theo Quyết định số         /2024/QĐ-UBND ngày     tháng 4 năm 2024 của Ủy ban nhân dân tỉnh Đồng Nai)</t>
  </si>
  <si>
    <t xml:space="preserve">Áp dụng mức lương cơ sở là 1,8 triệu đồng (theo Nghị định 24/2023/NĐ-CP) và Áp dụng theo Quyết định 4417/QĐ-UBND ngày 31/12/2019 của UBND tỉnh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</si>
</sst>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quot;_-;\-* #,##0.00\ &quot;?&quot;_-;_-* &quot;-&quot;&quot;?&quot;&quot;?&quot;\ &quot;?&quot;_-;_-@_-"/>
    <numFmt numFmtId="165" formatCode="_-* #,##0.00\ _?_-;\-* #,##0.00\ _?_-;_-* &quot;-&quot;&quot;?&quot;&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quot;?&quot;&quot;?&quot;_);_(@_)"/>
    <numFmt numFmtId="173" formatCode="_(* #,##0.00_);_(* \(#,##0.00\);_(* &quot;-&quot;&quot;?&quot;&quot;?&quot;_);_(@_)"/>
    <numFmt numFmtId="174" formatCode="_(* #,##0_);_(* \(#,##0\);_(* &quot;-&quot;&quot;?&quot;&quot;?&quot;_);_(@_)"/>
    <numFmt numFmtId="175" formatCode="#,##0.0"/>
    <numFmt numFmtId="176" formatCode="#,##0.000"/>
    <numFmt numFmtId="177" formatCode="_-* #,##0.0\ _?_-;\-* #,##0.0\ _?_-;_-* &quot;-&quot;&quot;?&quot;&quot;?&quot;\ _?_-;_-@_-"/>
    <numFmt numFmtId="178" formatCode="_-* #,##0\ _?_-;\-* #,##0\ _?_-;_-* &quot;-&quot;&quot;?&quot;&quot;?&quot;\ _?_-;_-@_-"/>
  </numFmts>
  <fonts count="50">
    <font>
      <sz val="12"/>
      <color theme="1"/>
      <name val="Times New Roman"/>
      <family val="2"/>
    </font>
    <font>
      <sz val="12"/>
      <color indexed="8"/>
      <name val="Times New Roman"/>
      <family val="2"/>
    </font>
    <font>
      <sz val="12"/>
      <name val="Times New Roman"/>
      <family val="1"/>
    </font>
    <font>
      <b/>
      <sz val="13"/>
      <name val="Times New Roman"/>
      <family val="1"/>
    </font>
    <font>
      <sz val="13"/>
      <name val="Times New Roman"/>
      <family val="1"/>
    </font>
    <font>
      <b/>
      <i/>
      <sz val="13"/>
      <name val="Times New Roman"/>
      <family val="1"/>
    </font>
    <font>
      <i/>
      <sz val="13"/>
      <name val="Times New Roman"/>
      <family val="1"/>
    </font>
    <font>
      <vertAlign val="superscript"/>
      <sz val="13"/>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3"/>
      <color indexed="8"/>
      <name val="Times New Roman"/>
      <family val="1"/>
    </font>
    <font>
      <b/>
      <sz val="13"/>
      <color indexed="8"/>
      <name val="Times New Roman"/>
      <family val="1"/>
    </font>
    <font>
      <b/>
      <i/>
      <sz val="13"/>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3"/>
      <color theme="1"/>
      <name val="Times New Roman"/>
      <family val="1"/>
    </font>
    <font>
      <b/>
      <sz val="13"/>
      <color theme="1"/>
      <name val="Times New Roman"/>
      <family val="1"/>
    </font>
    <font>
      <b/>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0">
    <xf numFmtId="0" fontId="0" fillId="0" borderId="0" xfId="0" applyAlignment="1">
      <alignment/>
    </xf>
    <xf numFmtId="0" fontId="4" fillId="0" borderId="0" xfId="0" applyFont="1" applyFill="1" applyAlignment="1">
      <alignment vertical="center"/>
    </xf>
    <xf numFmtId="0" fontId="3"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57" applyFont="1" applyFill="1" applyBorder="1" applyAlignment="1">
      <alignment horizontal="center" vertical="center" wrapText="1"/>
      <protection/>
    </xf>
    <xf numFmtId="165" fontId="3" fillId="0" borderId="0" xfId="42" applyFont="1" applyFill="1" applyBorder="1" applyAlignment="1">
      <alignment horizontal="center" vertical="center" wrapText="1"/>
    </xf>
    <xf numFmtId="3" fontId="3" fillId="0" borderId="0" xfId="57" applyNumberFormat="1" applyFont="1" applyFill="1" applyBorder="1" applyAlignment="1">
      <alignment horizontal="center" vertical="center" wrapText="1"/>
      <protection/>
    </xf>
    <xf numFmtId="0" fontId="3"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3" fillId="0" borderId="0" xfId="57" applyFont="1" applyFill="1" applyBorder="1" applyAlignment="1">
      <alignment vertical="center" wrapText="1"/>
      <protection/>
    </xf>
    <xf numFmtId="165" fontId="3" fillId="0" borderId="0" xfId="42" applyFont="1" applyFill="1" applyAlignment="1">
      <alignment horizontal="left" vertical="center" wrapText="1"/>
    </xf>
    <xf numFmtId="3" fontId="3" fillId="0" borderId="0" xfId="0" applyNumberFormat="1" applyFont="1" applyFill="1" applyAlignment="1">
      <alignment horizontal="left" vertical="center" wrapText="1"/>
    </xf>
    <xf numFmtId="0" fontId="3" fillId="0" borderId="10" xfId="5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165" fontId="3" fillId="0" borderId="10" xfId="42" applyFont="1" applyFill="1" applyBorder="1" applyAlignment="1">
      <alignment horizontal="center" vertical="center" wrapText="1"/>
    </xf>
    <xf numFmtId="3" fontId="3" fillId="0" borderId="10" xfId="57" applyNumberFormat="1" applyFont="1" applyFill="1" applyBorder="1" applyAlignment="1">
      <alignment horizontal="center" vertical="center" wrapText="1"/>
      <protection/>
    </xf>
    <xf numFmtId="0" fontId="3" fillId="0" borderId="10" xfId="57" applyFont="1" applyFill="1" applyBorder="1" applyAlignment="1">
      <alignment horizontal="left" vertical="center" wrapText="1"/>
      <protection/>
    </xf>
    <xf numFmtId="3" fontId="3" fillId="0" borderId="10" xfId="57" applyNumberFormat="1" applyFont="1" applyFill="1" applyBorder="1" applyAlignment="1">
      <alignment horizontal="right" vertical="center" wrapText="1"/>
      <protection/>
    </xf>
    <xf numFmtId="4" fontId="3" fillId="0" borderId="10" xfId="42" applyNumberFormat="1" applyFont="1" applyFill="1" applyBorder="1" applyAlignment="1">
      <alignment horizontal="center" vertical="center" wrapText="1"/>
    </xf>
    <xf numFmtId="3" fontId="3" fillId="0" borderId="10" xfId="42" applyNumberFormat="1" applyFont="1" applyFill="1" applyBorder="1" applyAlignment="1">
      <alignment horizontal="right" vertical="center" wrapText="1"/>
    </xf>
    <xf numFmtId="0" fontId="4" fillId="0" borderId="10" xfId="57" applyFont="1" applyFill="1" applyBorder="1" applyAlignment="1">
      <alignment horizontal="center" vertical="center" wrapText="1"/>
      <protection/>
    </xf>
    <xf numFmtId="0" fontId="4" fillId="0" borderId="10" xfId="57" applyFont="1" applyFill="1" applyBorder="1" applyAlignment="1">
      <alignment horizontal="left" vertical="center" wrapText="1"/>
      <protection/>
    </xf>
    <xf numFmtId="3" fontId="4" fillId="0" borderId="10" xfId="57" applyNumberFormat="1" applyFont="1" applyFill="1" applyBorder="1" applyAlignment="1">
      <alignment horizontal="right" vertical="center" wrapText="1"/>
      <protection/>
    </xf>
    <xf numFmtId="3" fontId="4" fillId="0" borderId="10" xfId="42" applyNumberFormat="1" applyFont="1" applyFill="1" applyBorder="1" applyAlignment="1">
      <alignment horizontal="right" vertical="center" wrapText="1"/>
    </xf>
    <xf numFmtId="4" fontId="3" fillId="0" borderId="10" xfId="42" applyNumberFormat="1" applyFont="1" applyFill="1" applyBorder="1" applyAlignment="1">
      <alignment horizontal="right" vertical="center" wrapText="1"/>
    </xf>
    <xf numFmtId="3" fontId="4" fillId="0" borderId="10" xfId="57"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75" fontId="4" fillId="0" borderId="10" xfId="42" applyNumberFormat="1" applyFont="1" applyFill="1" applyBorder="1" applyAlignment="1">
      <alignment horizontal="right" vertical="center" wrapText="1"/>
    </xf>
    <xf numFmtId="4" fontId="4" fillId="0" borderId="10" xfId="42" applyNumberFormat="1" applyFont="1" applyFill="1" applyBorder="1" applyAlignment="1">
      <alignment horizontal="right" vertical="center" wrapText="1"/>
    </xf>
    <xf numFmtId="0" fontId="5" fillId="0" borderId="10" xfId="57" applyFont="1" applyFill="1" applyBorder="1" applyAlignment="1">
      <alignment horizontal="center" vertical="center" wrapText="1"/>
      <protection/>
    </xf>
    <xf numFmtId="0" fontId="5" fillId="0" borderId="10" xfId="57" applyFont="1" applyFill="1" applyBorder="1" applyAlignment="1">
      <alignment horizontal="left" vertical="center" wrapText="1"/>
      <protection/>
    </xf>
    <xf numFmtId="4" fontId="5" fillId="0" borderId="10" xfId="42" applyNumberFormat="1" applyFont="1" applyFill="1" applyBorder="1" applyAlignment="1">
      <alignment horizontal="right" vertical="center" wrapText="1"/>
    </xf>
    <xf numFmtId="3" fontId="5" fillId="0" borderId="10" xfId="57"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57" applyFont="1" applyFill="1" applyBorder="1" applyAlignment="1">
      <alignment horizontal="center" vertical="center" wrapText="1"/>
      <protection/>
    </xf>
    <xf numFmtId="173" fontId="4" fillId="0" borderId="10" xfId="42" applyNumberFormat="1" applyFont="1" applyFill="1" applyBorder="1" applyAlignment="1">
      <alignment horizontal="center" vertical="center" wrapText="1"/>
    </xf>
    <xf numFmtId="165" fontId="4" fillId="0" borderId="10" xfId="42" applyFont="1" applyFill="1" applyBorder="1" applyAlignment="1">
      <alignment horizontal="right" vertical="center" wrapText="1"/>
    </xf>
    <xf numFmtId="0" fontId="4" fillId="33" borderId="10" xfId="57" applyFont="1" applyFill="1" applyBorder="1" applyAlignment="1">
      <alignment horizontal="center" vertical="center" wrapText="1"/>
      <protection/>
    </xf>
    <xf numFmtId="0" fontId="4" fillId="33" borderId="10" xfId="57" applyFont="1" applyFill="1" applyBorder="1" applyAlignment="1">
      <alignment horizontal="left" vertical="center" wrapText="1"/>
      <protection/>
    </xf>
    <xf numFmtId="165" fontId="4" fillId="33" borderId="10" xfId="42" applyFont="1" applyFill="1" applyBorder="1" applyAlignment="1">
      <alignment horizontal="right" vertical="center" wrapText="1"/>
    </xf>
    <xf numFmtId="3" fontId="4" fillId="33" borderId="10" xfId="57" applyNumberFormat="1" applyFont="1" applyFill="1" applyBorder="1" applyAlignment="1">
      <alignment horizontal="right" vertical="center" wrapText="1"/>
      <protection/>
    </xf>
    <xf numFmtId="3" fontId="4" fillId="33" borderId="10" xfId="57" applyNumberFormat="1" applyFont="1" applyFill="1" applyBorder="1" applyAlignment="1">
      <alignment horizontal="center" vertical="center" wrapText="1"/>
      <protection/>
    </xf>
    <xf numFmtId="3" fontId="6" fillId="0" borderId="10" xfId="57" applyNumberFormat="1" applyFont="1" applyFill="1" applyBorder="1" applyAlignment="1">
      <alignment horizontal="right" vertical="center" wrapText="1"/>
      <protection/>
    </xf>
    <xf numFmtId="165" fontId="5" fillId="0" borderId="10" xfId="42" applyFont="1" applyFill="1" applyBorder="1" applyAlignment="1">
      <alignment horizontal="right" vertical="center" wrapText="1"/>
    </xf>
    <xf numFmtId="3" fontId="5" fillId="0" borderId="10" xfId="57" applyNumberFormat="1" applyFont="1" applyFill="1" applyBorder="1" applyAlignment="1">
      <alignment horizontal="right" vertical="center" wrapText="1"/>
      <protection/>
    </xf>
    <xf numFmtId="165" fontId="3" fillId="0" borderId="10" xfId="42" applyFont="1" applyFill="1" applyBorder="1" applyAlignment="1">
      <alignment horizontal="right" vertical="center" wrapText="1"/>
    </xf>
    <xf numFmtId="3" fontId="3" fillId="0" borderId="10" xfId="57" applyNumberFormat="1" applyFont="1" applyFill="1" applyBorder="1" applyAlignment="1">
      <alignment vertical="center" wrapText="1"/>
      <protection/>
    </xf>
    <xf numFmtId="3" fontId="4" fillId="0" borderId="10" xfId="57" applyNumberFormat="1" applyFont="1" applyFill="1" applyBorder="1" applyAlignment="1">
      <alignment vertical="center" wrapText="1"/>
      <protection/>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3" fontId="4" fillId="0" borderId="10" xfId="0" applyNumberFormat="1" applyFont="1" applyFill="1" applyBorder="1" applyAlignment="1">
      <alignment vertical="center"/>
    </xf>
    <xf numFmtId="165" fontId="4" fillId="0" borderId="0" xfId="42" applyFont="1" applyFill="1" applyAlignment="1">
      <alignment horizontal="center" vertical="center"/>
    </xf>
    <xf numFmtId="3" fontId="4" fillId="0" borderId="0" xfId="0" applyNumberFormat="1" applyFont="1" applyFill="1" applyAlignment="1">
      <alignment vertical="center"/>
    </xf>
    <xf numFmtId="0" fontId="4" fillId="0" borderId="0" xfId="0" applyFont="1" applyFill="1" applyAlignment="1">
      <alignment horizontal="right" vertical="center"/>
    </xf>
    <xf numFmtId="0" fontId="47" fillId="0" borderId="0" xfId="0" applyFont="1" applyAlignment="1">
      <alignment/>
    </xf>
    <xf numFmtId="0" fontId="48" fillId="0" borderId="0" xfId="0" applyFont="1" applyAlignment="1">
      <alignment/>
    </xf>
    <xf numFmtId="0" fontId="4" fillId="0" borderId="0" xfId="57" applyFont="1" applyFill="1" applyBorder="1" applyAlignment="1">
      <alignment/>
      <protection/>
    </xf>
    <xf numFmtId="165" fontId="4" fillId="0" borderId="0" xfId="42" applyFont="1" applyFill="1" applyAlignment="1">
      <alignment horizontal="center" vertical="center" wrapText="1"/>
    </xf>
    <xf numFmtId="3" fontId="4" fillId="0" borderId="0" xfId="0" applyNumberFormat="1" applyFont="1" applyFill="1" applyAlignment="1">
      <alignment horizontal="left" vertical="center" wrapText="1"/>
    </xf>
    <xf numFmtId="0" fontId="48" fillId="0" borderId="10" xfId="0" applyFont="1" applyBorder="1" applyAlignment="1">
      <alignment horizontal="center"/>
    </xf>
    <xf numFmtId="0" fontId="48" fillId="0" borderId="10" xfId="0" applyFont="1" applyBorder="1" applyAlignment="1">
      <alignment/>
    </xf>
    <xf numFmtId="3" fontId="48" fillId="0" borderId="10" xfId="0" applyNumberFormat="1" applyFont="1" applyBorder="1" applyAlignment="1">
      <alignment/>
    </xf>
    <xf numFmtId="0" fontId="47" fillId="0" borderId="10" xfId="0" applyFont="1" applyBorder="1" applyAlignment="1">
      <alignment horizontal="center"/>
    </xf>
    <xf numFmtId="0" fontId="47" fillId="0" borderId="10" xfId="0" applyFont="1" applyBorder="1" applyAlignment="1">
      <alignment/>
    </xf>
    <xf numFmtId="3" fontId="47" fillId="0" borderId="10" xfId="0" applyNumberFormat="1" applyFont="1" applyBorder="1" applyAlignment="1">
      <alignment/>
    </xf>
    <xf numFmtId="0" fontId="47" fillId="0" borderId="10" xfId="0" applyFont="1" applyFill="1" applyBorder="1" applyAlignment="1">
      <alignment horizontal="center"/>
    </xf>
    <xf numFmtId="0" fontId="47" fillId="0" borderId="10" xfId="0" applyFont="1" applyFill="1" applyBorder="1" applyAlignment="1">
      <alignment/>
    </xf>
    <xf numFmtId="3" fontId="47" fillId="0" borderId="10" xfId="0" applyNumberFormat="1" applyFont="1" applyFill="1" applyBorder="1" applyAlignment="1">
      <alignment/>
    </xf>
    <xf numFmtId="0" fontId="48" fillId="0" borderId="10" xfId="0" applyFont="1" applyFill="1" applyBorder="1" applyAlignment="1">
      <alignment horizontal="center"/>
    </xf>
    <xf numFmtId="0" fontId="48" fillId="0" borderId="10" xfId="0" applyFont="1" applyFill="1" applyBorder="1" applyAlignment="1">
      <alignment/>
    </xf>
    <xf numFmtId="4" fontId="48" fillId="0" borderId="10" xfId="0" applyNumberFormat="1" applyFont="1" applyBorder="1" applyAlignment="1">
      <alignment/>
    </xf>
    <xf numFmtId="4" fontId="47" fillId="0" borderId="10" xfId="0" applyNumberFormat="1" applyFont="1" applyBorder="1" applyAlignment="1">
      <alignment/>
    </xf>
    <xf numFmtId="3" fontId="4" fillId="0" borderId="10" xfId="57" applyNumberFormat="1" applyFont="1" applyFill="1" applyBorder="1" applyAlignment="1">
      <alignment horizontal="left" vertical="center" wrapText="1"/>
      <protection/>
    </xf>
    <xf numFmtId="4" fontId="4" fillId="0" borderId="10" xfId="57" applyNumberFormat="1" applyFont="1" applyFill="1" applyBorder="1" applyAlignment="1">
      <alignment horizontal="right" vertical="center" wrapText="1"/>
      <protection/>
    </xf>
    <xf numFmtId="0" fontId="47" fillId="0" borderId="10" xfId="0" applyFont="1" applyBorder="1" applyAlignment="1">
      <alignment vertical="center" wrapText="1"/>
    </xf>
    <xf numFmtId="4" fontId="3" fillId="0" borderId="10" xfId="57" applyNumberFormat="1" applyFont="1" applyFill="1" applyBorder="1" applyAlignment="1">
      <alignment horizontal="right" vertical="center" wrapText="1"/>
      <protection/>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178" fontId="3" fillId="0" borderId="10" xfId="42" applyNumberFormat="1" applyFont="1" applyFill="1" applyBorder="1" applyAlignment="1">
      <alignment horizontal="right" vertical="center" wrapText="1"/>
    </xf>
    <xf numFmtId="174" fontId="3" fillId="0" borderId="10" xfId="57" applyNumberFormat="1" applyFont="1" applyFill="1" applyBorder="1" applyAlignment="1">
      <alignment horizontal="center" vertical="center" wrapText="1"/>
      <protection/>
    </xf>
    <xf numFmtId="174" fontId="4" fillId="0" borderId="10" xfId="57" applyNumberFormat="1" applyFont="1" applyFill="1" applyBorder="1" applyAlignment="1">
      <alignment horizontal="center" vertical="center" wrapText="1"/>
      <protection/>
    </xf>
    <xf numFmtId="165" fontId="4" fillId="0" borderId="0" xfId="42" applyFont="1" applyFill="1" applyBorder="1" applyAlignment="1">
      <alignment horizontal="right" vertical="center" wrapText="1"/>
    </xf>
    <xf numFmtId="165" fontId="3" fillId="0" borderId="0" xfId="42" applyFont="1" applyFill="1" applyBorder="1" applyAlignment="1">
      <alignment horizontal="right" vertical="center" wrapText="1"/>
    </xf>
    <xf numFmtId="3" fontId="4" fillId="0" borderId="0" xfId="0" applyNumberFormat="1" applyFont="1" applyFill="1" applyBorder="1" applyAlignment="1">
      <alignment horizontal="right" vertical="center"/>
    </xf>
    <xf numFmtId="0" fontId="47" fillId="0" borderId="0" xfId="0" applyFont="1" applyBorder="1" applyAlignment="1">
      <alignment/>
    </xf>
    <xf numFmtId="0" fontId="3" fillId="0" borderId="10" xfId="0" applyFont="1" applyFill="1" applyBorder="1" applyAlignment="1">
      <alignment vertical="center"/>
    </xf>
    <xf numFmtId="0" fontId="4" fillId="0" borderId="10" xfId="0" applyFont="1" applyFill="1" applyBorder="1" applyAlignment="1">
      <alignment horizontal="center" vertical="center"/>
    </xf>
    <xf numFmtId="4" fontId="5" fillId="0" borderId="10" xfId="42" applyNumberFormat="1" applyFont="1" applyFill="1" applyBorder="1" applyAlignment="1">
      <alignment vertical="center" wrapText="1"/>
    </xf>
    <xf numFmtId="0" fontId="5" fillId="0" borderId="0" xfId="0" applyFont="1" applyFill="1" applyAlignment="1">
      <alignment vertical="center"/>
    </xf>
    <xf numFmtId="0" fontId="47" fillId="0" borderId="10" xfId="0" applyFont="1" applyBorder="1" applyAlignment="1" quotePrefix="1">
      <alignment/>
    </xf>
    <xf numFmtId="0" fontId="49" fillId="0" borderId="10" xfId="0" applyFont="1" applyBorder="1" applyAlignment="1">
      <alignment horizontal="center"/>
    </xf>
    <xf numFmtId="0" fontId="49" fillId="0" borderId="10" xfId="0" applyFont="1" applyFill="1" applyBorder="1" applyAlignment="1">
      <alignment/>
    </xf>
    <xf numFmtId="4" fontId="49" fillId="0" borderId="10" xfId="0" applyNumberFormat="1" applyFont="1" applyBorder="1" applyAlignment="1">
      <alignmen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Alignment="1">
      <alignment/>
    </xf>
    <xf numFmtId="3" fontId="5" fillId="0" borderId="10" xfId="57" applyNumberFormat="1" applyFont="1" applyFill="1" applyBorder="1" applyAlignment="1">
      <alignment horizontal="left" vertical="center" wrapText="1"/>
      <protection/>
    </xf>
    <xf numFmtId="4" fontId="5" fillId="0" borderId="10" xfId="57" applyNumberFormat="1" applyFont="1" applyFill="1" applyBorder="1" applyAlignment="1">
      <alignment horizontal="right" vertical="center" wrapText="1"/>
      <protection/>
    </xf>
    <xf numFmtId="0" fontId="49" fillId="0" borderId="10" xfId="0" applyFont="1" applyBorder="1" applyAlignment="1">
      <alignment vertical="center" wrapText="1"/>
    </xf>
    <xf numFmtId="0" fontId="4" fillId="0" borderId="11" xfId="0" applyFont="1" applyFill="1" applyBorder="1" applyAlignment="1" quotePrefix="1">
      <alignment horizontal="center" vertical="center" wrapText="1"/>
    </xf>
    <xf numFmtId="0" fontId="4" fillId="0" borderId="12" xfId="0" applyFont="1" applyFill="1" applyBorder="1" applyAlignment="1" quotePrefix="1">
      <alignment horizontal="center" vertical="center" wrapText="1"/>
    </xf>
    <xf numFmtId="0" fontId="4" fillId="0" borderId="13" xfId="0" applyFont="1" applyFill="1" applyBorder="1" applyAlignment="1" quotePrefix="1">
      <alignment horizontal="center" vertical="center" wrapText="1"/>
    </xf>
    <xf numFmtId="0" fontId="4" fillId="0" borderId="11" xfId="0" applyFont="1" applyFill="1" applyBorder="1" applyAlignment="1" quotePrefix="1">
      <alignment horizontal="left" vertical="center" wrapText="1"/>
    </xf>
    <xf numFmtId="0" fontId="4" fillId="0" borderId="12" xfId="0" applyFont="1" applyFill="1" applyBorder="1" applyAlignment="1" quotePrefix="1">
      <alignment horizontal="left" vertical="center" wrapText="1"/>
    </xf>
    <xf numFmtId="0" fontId="4" fillId="0" borderId="13" xfId="0" applyFont="1" applyFill="1" applyBorder="1" applyAlignment="1" quotePrefix="1">
      <alignment horizontal="left" vertical="center" wrapText="1"/>
    </xf>
    <xf numFmtId="3" fontId="4" fillId="0" borderId="11" xfId="57" applyNumberFormat="1" applyFont="1" applyFill="1" applyBorder="1" applyAlignment="1">
      <alignment horizontal="center" vertical="center" wrapText="1"/>
      <protection/>
    </xf>
    <xf numFmtId="3" fontId="4" fillId="0" borderId="12" xfId="57" applyNumberFormat="1" applyFont="1" applyFill="1" applyBorder="1" applyAlignment="1">
      <alignment horizontal="center" vertical="center" wrapText="1"/>
      <protection/>
    </xf>
    <xf numFmtId="3" fontId="4" fillId="0" borderId="13" xfId="57" applyNumberFormat="1" applyFont="1" applyFill="1" applyBorder="1" applyAlignment="1">
      <alignment horizontal="center" vertical="center" wrapText="1"/>
      <protection/>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quotePrefix="1">
      <alignment horizontal="left" vertical="center" wrapText="1"/>
    </xf>
    <xf numFmtId="0" fontId="4" fillId="0" borderId="0" xfId="0" applyFont="1" applyFill="1" applyAlignment="1">
      <alignment horizontal="left" vertical="center" wrapText="1"/>
    </xf>
    <xf numFmtId="0" fontId="3" fillId="0" borderId="10" xfId="57"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47" fillId="0" borderId="10" xfId="0" applyFont="1" applyBorder="1" applyAlignment="1">
      <alignment horizontal="center" vertical="center" wrapText="1"/>
    </xf>
    <xf numFmtId="3" fontId="4" fillId="0" borderId="10" xfId="57" applyNumberFormat="1" applyFont="1" applyFill="1" applyBorder="1" applyAlignment="1">
      <alignment horizontal="center" vertical="center" wrapText="1"/>
      <protection/>
    </xf>
    <xf numFmtId="0" fontId="48" fillId="0" borderId="0" xfId="0" applyFont="1" applyAlignment="1">
      <alignment horizontal="center"/>
    </xf>
    <xf numFmtId="0" fontId="47" fillId="0" borderId="11" xfId="0" applyFont="1" applyBorder="1" applyAlignment="1" quotePrefix="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7" fillId="0" borderId="10" xfId="0" applyFont="1" applyBorder="1" applyAlignment="1" quotePrefix="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anban.chinhphu.vn/?pageid=27160&amp;docid=203945"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vanban.chinhphu.vn/?pageid=27160&amp;docid=203945"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3"/>
  <sheetViews>
    <sheetView tabSelected="1" zoomScalePageLayoutView="0" workbookViewId="0" topLeftCell="A1">
      <selection activeCell="I106" sqref="I106"/>
    </sheetView>
  </sheetViews>
  <sheetFormatPr defaultColWidth="8.25390625" defaultRowHeight="15.75"/>
  <cols>
    <col min="1" max="2" width="7.25390625" style="1" customWidth="1"/>
    <col min="3" max="3" width="40.25390625" style="1" customWidth="1"/>
    <col min="4" max="4" width="9.375" style="1" customWidth="1"/>
    <col min="5" max="5" width="8.875" style="54" bestFit="1" customWidth="1"/>
    <col min="6" max="6" width="8.75390625" style="55" bestFit="1" customWidth="1"/>
    <col min="7" max="7" width="12.25390625" style="55" bestFit="1" customWidth="1"/>
    <col min="8" max="8" width="29.25390625" style="55" customWidth="1"/>
    <col min="9" max="9" width="30.50390625" style="56" customWidth="1"/>
    <col min="10" max="10" width="8.25390625" style="1" customWidth="1"/>
    <col min="11" max="11" width="20.75390625" style="1" customWidth="1"/>
    <col min="12" max="16384" width="8.25390625" style="1" customWidth="1"/>
  </cols>
  <sheetData>
    <row r="1" spans="1:9" ht="16.5">
      <c r="A1" s="119" t="s">
        <v>184</v>
      </c>
      <c r="B1" s="119"/>
      <c r="C1" s="119"/>
      <c r="D1" s="119"/>
      <c r="E1" s="119"/>
      <c r="F1" s="119"/>
      <c r="G1" s="119"/>
      <c r="H1" s="119"/>
      <c r="I1" s="119"/>
    </row>
    <row r="2" spans="1:9" ht="16.5">
      <c r="A2" s="121" t="s">
        <v>195</v>
      </c>
      <c r="B2" s="121"/>
      <c r="C2" s="121"/>
      <c r="D2" s="121"/>
      <c r="E2" s="121"/>
      <c r="F2" s="121"/>
      <c r="G2" s="121"/>
      <c r="H2" s="121"/>
      <c r="I2" s="121"/>
    </row>
    <row r="3" spans="1:9" ht="18.75" customHeight="1">
      <c r="A3" s="122" t="s">
        <v>228</v>
      </c>
      <c r="B3" s="122"/>
      <c r="C3" s="122"/>
      <c r="D3" s="122"/>
      <c r="E3" s="122"/>
      <c r="F3" s="122"/>
      <c r="G3" s="122"/>
      <c r="H3" s="122"/>
      <c r="I3" s="122"/>
    </row>
    <row r="4" spans="1:9" ht="16.5" customHeight="1">
      <c r="A4" s="3"/>
      <c r="B4" s="3"/>
      <c r="C4" s="3"/>
      <c r="D4" s="3"/>
      <c r="E4" s="3"/>
      <c r="F4" s="3"/>
      <c r="G4" s="3"/>
      <c r="H4" s="3"/>
      <c r="I4" s="3"/>
    </row>
    <row r="5" spans="1:9" s="8" customFormat="1" ht="16.5">
      <c r="A5" s="2">
        <v>1</v>
      </c>
      <c r="B5" s="8" t="s">
        <v>0</v>
      </c>
      <c r="D5" s="4"/>
      <c r="E5" s="5"/>
      <c r="F5" s="6"/>
      <c r="G5" s="6"/>
      <c r="H5" s="6"/>
      <c r="I5" s="7"/>
    </row>
    <row r="6" spans="1:9" s="8" customFormat="1" ht="16.5" customHeight="1">
      <c r="A6" s="2"/>
      <c r="B6" s="116" t="s">
        <v>135</v>
      </c>
      <c r="C6" s="116"/>
      <c r="D6" s="116"/>
      <c r="E6" s="116"/>
      <c r="F6" s="116"/>
      <c r="G6" s="116"/>
      <c r="H6" s="116"/>
      <c r="I6" s="116"/>
    </row>
    <row r="7" spans="1:9" ht="31.5" customHeight="1">
      <c r="A7" s="9"/>
      <c r="B7" s="116" t="s">
        <v>80</v>
      </c>
      <c r="C7" s="116"/>
      <c r="D7" s="116"/>
      <c r="E7" s="116"/>
      <c r="F7" s="116"/>
      <c r="G7" s="116"/>
      <c r="H7" s="116"/>
      <c r="I7" s="116"/>
    </row>
    <row r="8" spans="1:9" ht="30.75" customHeight="1">
      <c r="A8" s="9"/>
      <c r="B8" s="117" t="s">
        <v>209</v>
      </c>
      <c r="C8" s="117"/>
      <c r="D8" s="117"/>
      <c r="E8" s="117"/>
      <c r="F8" s="117"/>
      <c r="G8" s="117"/>
      <c r="H8" s="117"/>
      <c r="I8" s="117"/>
    </row>
    <row r="9" spans="1:9" ht="30.75" customHeight="1">
      <c r="A9" s="9"/>
      <c r="B9" s="117" t="s">
        <v>131</v>
      </c>
      <c r="C9" s="117"/>
      <c r="D9" s="117"/>
      <c r="E9" s="117"/>
      <c r="F9" s="117"/>
      <c r="G9" s="117"/>
      <c r="H9" s="117"/>
      <c r="I9" s="117"/>
    </row>
    <row r="10" spans="1:9" ht="30.75" customHeight="1">
      <c r="A10" s="9"/>
      <c r="B10" s="117" t="s">
        <v>81</v>
      </c>
      <c r="C10" s="117"/>
      <c r="D10" s="117"/>
      <c r="E10" s="117"/>
      <c r="F10" s="117"/>
      <c r="G10" s="117"/>
      <c r="H10" s="117"/>
      <c r="I10" s="117"/>
    </row>
    <row r="11" spans="1:9" ht="30.75" customHeight="1">
      <c r="A11" s="9"/>
      <c r="B11" s="117" t="s">
        <v>132</v>
      </c>
      <c r="C11" s="117"/>
      <c r="D11" s="117"/>
      <c r="E11" s="117"/>
      <c r="F11" s="117"/>
      <c r="G11" s="117"/>
      <c r="H11" s="117"/>
      <c r="I11" s="117"/>
    </row>
    <row r="12" spans="1:9" ht="54" customHeight="1">
      <c r="A12" s="9"/>
      <c r="B12" s="117" t="s">
        <v>194</v>
      </c>
      <c r="C12" s="117"/>
      <c r="D12" s="117"/>
      <c r="E12" s="117"/>
      <c r="F12" s="117"/>
      <c r="G12" s="117"/>
      <c r="H12" s="117"/>
      <c r="I12" s="117"/>
    </row>
    <row r="13" spans="1:9" ht="30.75" customHeight="1">
      <c r="A13" s="9"/>
      <c r="B13" s="117" t="s">
        <v>82</v>
      </c>
      <c r="C13" s="117"/>
      <c r="D13" s="117"/>
      <c r="E13" s="117"/>
      <c r="F13" s="117"/>
      <c r="G13" s="117"/>
      <c r="H13" s="117"/>
      <c r="I13" s="117"/>
    </row>
    <row r="14" spans="1:9" ht="30.75" customHeight="1">
      <c r="A14" s="9"/>
      <c r="B14" s="116" t="s">
        <v>192</v>
      </c>
      <c r="C14" s="117"/>
      <c r="D14" s="117"/>
      <c r="E14" s="117"/>
      <c r="F14" s="117"/>
      <c r="G14" s="117"/>
      <c r="H14" s="117"/>
      <c r="I14" s="117"/>
    </row>
    <row r="15" spans="1:9" ht="16.5">
      <c r="A15" s="9"/>
      <c r="B15" s="116" t="s">
        <v>193</v>
      </c>
      <c r="C15" s="117"/>
      <c r="D15" s="117"/>
      <c r="E15" s="117"/>
      <c r="F15" s="117"/>
      <c r="G15" s="117"/>
      <c r="H15" s="117"/>
      <c r="I15" s="117"/>
    </row>
    <row r="16" spans="1:9" ht="30.75" customHeight="1">
      <c r="A16" s="9"/>
      <c r="B16" s="117" t="s">
        <v>196</v>
      </c>
      <c r="C16" s="117"/>
      <c r="D16" s="117"/>
      <c r="E16" s="117"/>
      <c r="F16" s="117"/>
      <c r="G16" s="117"/>
      <c r="H16" s="117"/>
      <c r="I16" s="117"/>
    </row>
    <row r="17" spans="1:9" ht="16.5" customHeight="1">
      <c r="A17" s="9"/>
      <c r="B17" s="117" t="s">
        <v>83</v>
      </c>
      <c r="C17" s="117"/>
      <c r="D17" s="117"/>
      <c r="E17" s="117"/>
      <c r="F17" s="117"/>
      <c r="G17" s="117"/>
      <c r="H17" s="117"/>
      <c r="I17" s="117"/>
    </row>
    <row r="18" spans="1:9" ht="21.75" customHeight="1">
      <c r="A18" s="9"/>
      <c r="B18" s="116" t="s">
        <v>136</v>
      </c>
      <c r="C18" s="116"/>
      <c r="D18" s="116"/>
      <c r="E18" s="116"/>
      <c r="F18" s="116"/>
      <c r="G18" s="116"/>
      <c r="H18" s="116"/>
      <c r="I18" s="116"/>
    </row>
    <row r="19" spans="1:9" s="8" customFormat="1" ht="16.5">
      <c r="A19" s="2">
        <v>2</v>
      </c>
      <c r="B19" s="8" t="s">
        <v>134</v>
      </c>
      <c r="D19" s="11"/>
      <c r="E19" s="12"/>
      <c r="F19" s="13"/>
      <c r="G19" s="13"/>
      <c r="H19" s="13"/>
      <c r="I19" s="7"/>
    </row>
    <row r="20" spans="1:9" s="8" customFormat="1" ht="16.5">
      <c r="A20" s="118" t="s">
        <v>1</v>
      </c>
      <c r="B20" s="118" t="s">
        <v>191</v>
      </c>
      <c r="C20" s="118" t="s">
        <v>2</v>
      </c>
      <c r="D20" s="118" t="s">
        <v>3</v>
      </c>
      <c r="E20" s="118"/>
      <c r="F20" s="118"/>
      <c r="G20" s="118"/>
      <c r="H20" s="120" t="s">
        <v>137</v>
      </c>
      <c r="I20" s="120" t="s">
        <v>189</v>
      </c>
    </row>
    <row r="21" spans="1:9" s="8" customFormat="1" ht="33">
      <c r="A21" s="118"/>
      <c r="B21" s="118"/>
      <c r="C21" s="118"/>
      <c r="D21" s="14" t="s">
        <v>5</v>
      </c>
      <c r="E21" s="16" t="s">
        <v>6</v>
      </c>
      <c r="F21" s="17" t="s">
        <v>7</v>
      </c>
      <c r="G21" s="17" t="s">
        <v>8</v>
      </c>
      <c r="H21" s="120"/>
      <c r="I21" s="120"/>
    </row>
    <row r="22" spans="1:9" s="8" customFormat="1" ht="16.5">
      <c r="A22" s="14" t="s">
        <v>9</v>
      </c>
      <c r="B22" s="14"/>
      <c r="C22" s="18" t="s">
        <v>10</v>
      </c>
      <c r="D22" s="14"/>
      <c r="E22" s="16"/>
      <c r="F22" s="17"/>
      <c r="G22" s="19">
        <f>G23+G83</f>
        <v>189453305</v>
      </c>
      <c r="H22" s="15"/>
      <c r="I22" s="15"/>
    </row>
    <row r="23" spans="1:9" s="8" customFormat="1" ht="16.5">
      <c r="A23" s="14" t="s">
        <v>11</v>
      </c>
      <c r="B23" s="14"/>
      <c r="C23" s="18" t="s">
        <v>12</v>
      </c>
      <c r="D23" s="14"/>
      <c r="E23" s="16"/>
      <c r="F23" s="17"/>
      <c r="G23" s="19">
        <f>G24+G35+G39</f>
        <v>180431719</v>
      </c>
      <c r="H23" s="15"/>
      <c r="I23" s="15"/>
    </row>
    <row r="24" spans="1:9" s="8" customFormat="1" ht="16.5">
      <c r="A24" s="14">
        <v>1</v>
      </c>
      <c r="B24" s="14"/>
      <c r="C24" s="18" t="s">
        <v>13</v>
      </c>
      <c r="D24" s="14"/>
      <c r="E24" s="20"/>
      <c r="F24" s="17"/>
      <c r="G24" s="19">
        <f>G25+G30+G34</f>
        <v>31302800</v>
      </c>
      <c r="H24" s="17"/>
      <c r="I24" s="15"/>
    </row>
    <row r="25" spans="1:9" s="8" customFormat="1" ht="16.5">
      <c r="A25" s="14" t="s">
        <v>14</v>
      </c>
      <c r="B25" s="14"/>
      <c r="C25" s="18" t="s">
        <v>15</v>
      </c>
      <c r="D25" s="14"/>
      <c r="E25" s="21">
        <f>SUM(E26:E29)</f>
        <v>1082</v>
      </c>
      <c r="F25" s="17"/>
      <c r="G25" s="21">
        <f>SUM(G26:G29)</f>
        <v>21640000</v>
      </c>
      <c r="H25" s="108" t="s">
        <v>174</v>
      </c>
      <c r="I25" s="105" t="s">
        <v>205</v>
      </c>
    </row>
    <row r="26" spans="1:9" s="8" customFormat="1" ht="16.5">
      <c r="A26" s="22" t="s">
        <v>197</v>
      </c>
      <c r="B26" s="22"/>
      <c r="C26" s="23" t="s">
        <v>173</v>
      </c>
      <c r="D26" s="22" t="s">
        <v>17</v>
      </c>
      <c r="E26" s="24">
        <v>833</v>
      </c>
      <c r="F26" s="24">
        <v>20000</v>
      </c>
      <c r="G26" s="24">
        <f>ROUND(E26*F26,0)</f>
        <v>16660000</v>
      </c>
      <c r="H26" s="109"/>
      <c r="I26" s="111"/>
    </row>
    <row r="27" spans="1:9" s="8" customFormat="1" ht="17.25" customHeight="1">
      <c r="A27" s="22" t="s">
        <v>198</v>
      </c>
      <c r="B27" s="22"/>
      <c r="C27" s="23" t="s">
        <v>138</v>
      </c>
      <c r="D27" s="22" t="s">
        <v>17</v>
      </c>
      <c r="E27" s="24">
        <f>ROUND($E$26*10%,0)</f>
        <v>83</v>
      </c>
      <c r="F27" s="24">
        <f>F26</f>
        <v>20000</v>
      </c>
      <c r="G27" s="24">
        <f aca="true" t="shared" si="0" ref="G27:G33">ROUND(E27*F27,0)</f>
        <v>1660000</v>
      </c>
      <c r="H27" s="109"/>
      <c r="I27" s="111"/>
    </row>
    <row r="28" spans="1:9" s="8" customFormat="1" ht="16.5">
      <c r="A28" s="22" t="s">
        <v>199</v>
      </c>
      <c r="B28" s="22"/>
      <c r="C28" s="23" t="s">
        <v>139</v>
      </c>
      <c r="D28" s="22" t="s">
        <v>17</v>
      </c>
      <c r="E28" s="24">
        <f>ROUND($E$26*10%,0)</f>
        <v>83</v>
      </c>
      <c r="F28" s="24">
        <f>F27</f>
        <v>20000</v>
      </c>
      <c r="G28" s="24">
        <f t="shared" si="0"/>
        <v>1660000</v>
      </c>
      <c r="H28" s="109"/>
      <c r="I28" s="111"/>
    </row>
    <row r="29" spans="1:9" s="8" customFormat="1" ht="16.5">
      <c r="A29" s="22" t="s">
        <v>200</v>
      </c>
      <c r="B29" s="22"/>
      <c r="C29" s="23" t="s">
        <v>140</v>
      </c>
      <c r="D29" s="22" t="s">
        <v>17</v>
      </c>
      <c r="E29" s="24">
        <f>ROUND($E$26*10%,0)</f>
        <v>83</v>
      </c>
      <c r="F29" s="24">
        <f>F28</f>
        <v>20000</v>
      </c>
      <c r="G29" s="24">
        <f t="shared" si="0"/>
        <v>1660000</v>
      </c>
      <c r="H29" s="110"/>
      <c r="I29" s="112"/>
    </row>
    <row r="30" spans="1:9" s="8" customFormat="1" ht="16.5">
      <c r="A30" s="14" t="s">
        <v>18</v>
      </c>
      <c r="B30" s="14"/>
      <c r="C30" s="18" t="s">
        <v>19</v>
      </c>
      <c r="D30" s="14"/>
      <c r="E30" s="21">
        <f>SUM(E31:E33)</f>
        <v>499.80000000000007</v>
      </c>
      <c r="F30" s="19"/>
      <c r="G30" s="21">
        <f>SUM(G31:G33)</f>
        <v>8996400</v>
      </c>
      <c r="H30" s="17"/>
      <c r="I30" s="15"/>
    </row>
    <row r="31" spans="1:9" s="8" customFormat="1" ht="16.5">
      <c r="A31" s="22" t="s">
        <v>197</v>
      </c>
      <c r="B31" s="14"/>
      <c r="C31" s="23" t="s">
        <v>20</v>
      </c>
      <c r="D31" s="22" t="s">
        <v>21</v>
      </c>
      <c r="E31" s="25">
        <f>E26*0.2</f>
        <v>166.60000000000002</v>
      </c>
      <c r="F31" s="24">
        <v>18000</v>
      </c>
      <c r="G31" s="24">
        <f t="shared" si="0"/>
        <v>2998800</v>
      </c>
      <c r="H31" s="108" t="s">
        <v>22</v>
      </c>
      <c r="I31" s="113" t="s">
        <v>177</v>
      </c>
    </row>
    <row r="32" spans="1:9" s="8" customFormat="1" ht="16.5">
      <c r="A32" s="22" t="s">
        <v>198</v>
      </c>
      <c r="B32" s="14"/>
      <c r="C32" s="23" t="s">
        <v>23</v>
      </c>
      <c r="D32" s="22" t="s">
        <v>21</v>
      </c>
      <c r="E32" s="25">
        <f>E26*0.2</f>
        <v>166.60000000000002</v>
      </c>
      <c r="F32" s="24">
        <v>18000</v>
      </c>
      <c r="G32" s="24">
        <f t="shared" si="0"/>
        <v>2998800</v>
      </c>
      <c r="H32" s="109"/>
      <c r="I32" s="114"/>
    </row>
    <row r="33" spans="1:9" s="8" customFormat="1" ht="16.5">
      <c r="A33" s="22" t="s">
        <v>199</v>
      </c>
      <c r="B33" s="14"/>
      <c r="C33" s="23" t="s">
        <v>24</v>
      </c>
      <c r="D33" s="22" t="s">
        <v>21</v>
      </c>
      <c r="E33" s="25">
        <f>E26*0.2</f>
        <v>166.60000000000002</v>
      </c>
      <c r="F33" s="24">
        <v>18000</v>
      </c>
      <c r="G33" s="24">
        <f t="shared" si="0"/>
        <v>2998800</v>
      </c>
      <c r="H33" s="110"/>
      <c r="I33" s="115"/>
    </row>
    <row r="34" spans="1:9" s="8" customFormat="1" ht="33">
      <c r="A34" s="14" t="s">
        <v>25</v>
      </c>
      <c r="B34" s="14"/>
      <c r="C34" s="18" t="s">
        <v>26</v>
      </c>
      <c r="D34" s="14" t="s">
        <v>21</v>
      </c>
      <c r="E34" s="26">
        <f>E26*0.01</f>
        <v>8.33</v>
      </c>
      <c r="F34" s="19">
        <v>80000</v>
      </c>
      <c r="G34" s="19">
        <f>E34*F34</f>
        <v>666400</v>
      </c>
      <c r="H34" s="17" t="s">
        <v>175</v>
      </c>
      <c r="I34" s="15"/>
    </row>
    <row r="35" spans="1:9" s="8" customFormat="1" ht="16.5">
      <c r="A35" s="14">
        <v>2</v>
      </c>
      <c r="B35" s="14"/>
      <c r="C35" s="18" t="s">
        <v>27</v>
      </c>
      <c r="D35" s="14"/>
      <c r="E35" s="26"/>
      <c r="F35" s="19"/>
      <c r="G35" s="19">
        <f>SUM(G36:G38)</f>
        <v>4745400</v>
      </c>
      <c r="H35" s="27"/>
      <c r="I35" s="15"/>
    </row>
    <row r="36" spans="1:9" s="8" customFormat="1" ht="33">
      <c r="A36" s="22" t="s">
        <v>197</v>
      </c>
      <c r="B36" s="22"/>
      <c r="C36" s="23" t="s">
        <v>29</v>
      </c>
      <c r="D36" s="22" t="s">
        <v>17</v>
      </c>
      <c r="E36" s="25">
        <f>E25</f>
        <v>1082</v>
      </c>
      <c r="F36" s="24">
        <v>2000</v>
      </c>
      <c r="G36" s="24">
        <f>ROUND(E36*F36,0)</f>
        <v>2164000</v>
      </c>
      <c r="H36" s="27" t="s">
        <v>30</v>
      </c>
      <c r="I36" s="28" t="s">
        <v>177</v>
      </c>
    </row>
    <row r="37" spans="1:9" s="8" customFormat="1" ht="33">
      <c r="A37" s="22" t="s">
        <v>198</v>
      </c>
      <c r="B37" s="22"/>
      <c r="C37" s="23" t="s">
        <v>92</v>
      </c>
      <c r="D37" s="22" t="s">
        <v>21</v>
      </c>
      <c r="E37" s="29">
        <f>E30+E34</f>
        <v>508.13000000000005</v>
      </c>
      <c r="F37" s="24">
        <v>2000</v>
      </c>
      <c r="G37" s="24">
        <f>ROUND(E37*F37,0)</f>
        <v>1016260</v>
      </c>
      <c r="H37" s="27" t="s">
        <v>141</v>
      </c>
      <c r="I37" s="28" t="s">
        <v>177</v>
      </c>
    </row>
    <row r="38" spans="1:9" s="8" customFormat="1" ht="33">
      <c r="A38" s="22" t="s">
        <v>199</v>
      </c>
      <c r="B38" s="22"/>
      <c r="C38" s="23" t="s">
        <v>33</v>
      </c>
      <c r="D38" s="22" t="s">
        <v>34</v>
      </c>
      <c r="E38" s="30">
        <v>5</v>
      </c>
      <c r="F38" s="27"/>
      <c r="G38" s="27">
        <f>ROUND((G25+G30+G34)*5%,0)</f>
        <v>1565140</v>
      </c>
      <c r="H38" s="27" t="s">
        <v>142</v>
      </c>
      <c r="I38" s="28"/>
    </row>
    <row r="39" spans="1:9" s="8" customFormat="1" ht="16.5">
      <c r="A39" s="14">
        <v>3</v>
      </c>
      <c r="B39" s="14"/>
      <c r="C39" s="18" t="s">
        <v>143</v>
      </c>
      <c r="D39" s="14" t="s">
        <v>35</v>
      </c>
      <c r="E39" s="26">
        <f>E40+E55+E65+E75+E79</f>
        <v>353.4809</v>
      </c>
      <c r="F39" s="17"/>
      <c r="G39" s="21">
        <f>G40+G55+G65+G75+G79</f>
        <v>144383519</v>
      </c>
      <c r="H39" s="17"/>
      <c r="I39" s="15"/>
    </row>
    <row r="40" spans="1:9" s="8" customFormat="1" ht="17.25">
      <c r="A40" s="31" t="s">
        <v>36</v>
      </c>
      <c r="B40" s="31"/>
      <c r="C40" s="32" t="s">
        <v>20</v>
      </c>
      <c r="D40" s="31" t="s">
        <v>35</v>
      </c>
      <c r="E40" s="33">
        <f>E41+E48</f>
        <v>159.6481</v>
      </c>
      <c r="F40" s="34"/>
      <c r="G40" s="34">
        <f>G41+G48</f>
        <v>65210184</v>
      </c>
      <c r="H40" s="34"/>
      <c r="I40" s="35"/>
    </row>
    <row r="41" spans="1:9" s="8" customFormat="1" ht="17.25">
      <c r="A41" s="31" t="s">
        <v>37</v>
      </c>
      <c r="B41" s="31"/>
      <c r="C41" s="32" t="s">
        <v>38</v>
      </c>
      <c r="D41" s="31" t="s">
        <v>35</v>
      </c>
      <c r="E41" s="90">
        <f>SUM(E42:E47)</f>
        <v>108.7377</v>
      </c>
      <c r="F41" s="34"/>
      <c r="G41" s="34">
        <f>SUM(G42:G47)</f>
        <v>44415219</v>
      </c>
      <c r="H41" s="34"/>
      <c r="I41" s="35"/>
    </row>
    <row r="42" spans="1:9" s="8" customFormat="1" ht="33" customHeight="1">
      <c r="A42" s="22" t="s">
        <v>197</v>
      </c>
      <c r="B42" s="28" t="s">
        <v>201</v>
      </c>
      <c r="C42" s="23" t="s">
        <v>39</v>
      </c>
      <c r="D42" s="22" t="s">
        <v>35</v>
      </c>
      <c r="E42" s="37">
        <f>ROUND((2.59/1000)*10000,2)*1</f>
        <v>25.9</v>
      </c>
      <c r="F42" s="24">
        <v>408462</v>
      </c>
      <c r="G42" s="24">
        <f aca="true" t="shared" si="1" ref="G42:G47">ROUND(E42*F42,0)</f>
        <v>10579166</v>
      </c>
      <c r="H42" s="27" t="s">
        <v>40</v>
      </c>
      <c r="I42" s="102" t="s">
        <v>204</v>
      </c>
    </row>
    <row r="43" spans="1:9" s="8" customFormat="1" ht="66">
      <c r="A43" s="22" t="s">
        <v>198</v>
      </c>
      <c r="B43" s="22" t="s">
        <v>41</v>
      </c>
      <c r="C43" s="23" t="s">
        <v>176</v>
      </c>
      <c r="D43" s="22" t="s">
        <v>35</v>
      </c>
      <c r="E43" s="38">
        <f>ROUND((15.38/1000)*E26,2)*1*1.93</f>
        <v>24.723300000000002</v>
      </c>
      <c r="F43" s="24">
        <v>408462</v>
      </c>
      <c r="G43" s="24">
        <f t="shared" si="1"/>
        <v>10098529</v>
      </c>
      <c r="H43" s="27" t="s">
        <v>42</v>
      </c>
      <c r="I43" s="103"/>
    </row>
    <row r="44" spans="1:9" s="8" customFormat="1" ht="49.5">
      <c r="A44" s="89" t="s">
        <v>199</v>
      </c>
      <c r="B44" s="22" t="s">
        <v>43</v>
      </c>
      <c r="C44" s="23" t="s">
        <v>44</v>
      </c>
      <c r="D44" s="22" t="s">
        <v>35</v>
      </c>
      <c r="E44" s="38">
        <f>ROUND((4.9/1000)*833,2)*1*1.93</f>
        <v>7.8744</v>
      </c>
      <c r="F44" s="24">
        <v>408462</v>
      </c>
      <c r="G44" s="24">
        <f t="shared" si="1"/>
        <v>3216393</v>
      </c>
      <c r="H44" s="27" t="s">
        <v>85</v>
      </c>
      <c r="I44" s="103"/>
    </row>
    <row r="45" spans="1:9" s="8" customFormat="1" ht="49.5">
      <c r="A45" s="89" t="s">
        <v>200</v>
      </c>
      <c r="B45" s="22" t="s">
        <v>144</v>
      </c>
      <c r="C45" s="23" t="s">
        <v>46</v>
      </c>
      <c r="D45" s="22" t="s">
        <v>35</v>
      </c>
      <c r="E45" s="38">
        <f>ROUND((20/1000)*833,2)*1</f>
        <v>16.66</v>
      </c>
      <c r="F45" s="24">
        <v>408462</v>
      </c>
      <c r="G45" s="24">
        <f t="shared" si="1"/>
        <v>6804977</v>
      </c>
      <c r="H45" s="27" t="s">
        <v>86</v>
      </c>
      <c r="I45" s="103"/>
    </row>
    <row r="46" spans="1:9" s="8" customFormat="1" ht="66">
      <c r="A46" s="89" t="s">
        <v>202</v>
      </c>
      <c r="B46" s="22" t="s">
        <v>47</v>
      </c>
      <c r="C46" s="40" t="s">
        <v>48</v>
      </c>
      <c r="D46" s="39" t="s">
        <v>35</v>
      </c>
      <c r="E46" s="41">
        <f>ROUND((31.25/1000)*E26,2)*1</f>
        <v>26.03</v>
      </c>
      <c r="F46" s="24">
        <v>408462</v>
      </c>
      <c r="G46" s="42">
        <f t="shared" si="1"/>
        <v>10632266</v>
      </c>
      <c r="H46" s="43" t="s">
        <v>49</v>
      </c>
      <c r="I46" s="103"/>
    </row>
    <row r="47" spans="1:9" s="8" customFormat="1" ht="66">
      <c r="A47" s="89" t="s">
        <v>203</v>
      </c>
      <c r="B47" s="22" t="s">
        <v>145</v>
      </c>
      <c r="C47" s="23" t="s">
        <v>50</v>
      </c>
      <c r="D47" s="22" t="s">
        <v>35</v>
      </c>
      <c r="E47" s="38">
        <f>ROUND((90.91/1000)*E27,2)*1</f>
        <v>7.55</v>
      </c>
      <c r="F47" s="24">
        <v>408462</v>
      </c>
      <c r="G47" s="24">
        <f t="shared" si="1"/>
        <v>3083888</v>
      </c>
      <c r="H47" s="27" t="s">
        <v>51</v>
      </c>
      <c r="I47" s="104"/>
    </row>
    <row r="48" spans="1:9" s="8" customFormat="1" ht="17.25">
      <c r="A48" s="31" t="s">
        <v>52</v>
      </c>
      <c r="B48" s="31"/>
      <c r="C48" s="32" t="s">
        <v>53</v>
      </c>
      <c r="D48" s="31" t="s">
        <v>35</v>
      </c>
      <c r="E48" s="45">
        <f>SUM(E49:E54)</f>
        <v>50.9104</v>
      </c>
      <c r="F48" s="46"/>
      <c r="G48" s="34">
        <f>SUM(G49:G54)</f>
        <v>20794965</v>
      </c>
      <c r="H48" s="34"/>
      <c r="I48" s="35"/>
    </row>
    <row r="49" spans="1:9" s="8" customFormat="1" ht="82.5">
      <c r="A49" s="89" t="s">
        <v>197</v>
      </c>
      <c r="B49" s="22" t="s">
        <v>54</v>
      </c>
      <c r="C49" s="23" t="s">
        <v>88</v>
      </c>
      <c r="D49" s="22" t="s">
        <v>35</v>
      </c>
      <c r="E49" s="38">
        <f>ROUND((1.58/1000)*10000,2)*1</f>
        <v>15.8</v>
      </c>
      <c r="F49" s="24">
        <v>408462</v>
      </c>
      <c r="G49" s="24">
        <f aca="true" t="shared" si="2" ref="G49:G54">ROUND(E49*F49,0)</f>
        <v>6453700</v>
      </c>
      <c r="H49" s="27" t="s">
        <v>55</v>
      </c>
      <c r="I49" s="105" t="s">
        <v>204</v>
      </c>
    </row>
    <row r="50" spans="1:9" s="8" customFormat="1" ht="33">
      <c r="A50" s="89" t="s">
        <v>198</v>
      </c>
      <c r="B50" s="22" t="s">
        <v>56</v>
      </c>
      <c r="C50" s="23" t="s">
        <v>146</v>
      </c>
      <c r="D50" s="22" t="s">
        <v>35</v>
      </c>
      <c r="E50" s="38">
        <f>ROUND((4.76/1000)*E36,2)*1*1.42</f>
        <v>7.313</v>
      </c>
      <c r="F50" s="24">
        <v>408462</v>
      </c>
      <c r="G50" s="24">
        <f t="shared" si="2"/>
        <v>2987083</v>
      </c>
      <c r="H50" s="27" t="s">
        <v>87</v>
      </c>
      <c r="I50" s="106"/>
    </row>
    <row r="51" spans="1:9" s="8" customFormat="1" ht="16.5">
      <c r="A51" s="89" t="s">
        <v>199</v>
      </c>
      <c r="B51" s="22" t="s">
        <v>57</v>
      </c>
      <c r="C51" s="23" t="s">
        <v>89</v>
      </c>
      <c r="D51" s="22" t="s">
        <v>35</v>
      </c>
      <c r="E51" s="38">
        <f>ROUND((1.05/1000)*10000,2)*1</f>
        <v>10.5</v>
      </c>
      <c r="F51" s="24">
        <v>408462</v>
      </c>
      <c r="G51" s="24">
        <f t="shared" si="2"/>
        <v>4288851</v>
      </c>
      <c r="H51" s="27" t="s">
        <v>58</v>
      </c>
      <c r="I51" s="106"/>
    </row>
    <row r="52" spans="1:9" s="8" customFormat="1" ht="33">
      <c r="A52" s="89" t="s">
        <v>200</v>
      </c>
      <c r="B52" s="22" t="s">
        <v>56</v>
      </c>
      <c r="C52" s="23" t="s">
        <v>147</v>
      </c>
      <c r="D52" s="22" t="s">
        <v>35</v>
      </c>
      <c r="E52" s="38">
        <f>ROUND((4.76/1000)*833,2)*1*1.42</f>
        <v>5.6374</v>
      </c>
      <c r="F52" s="24">
        <v>408462</v>
      </c>
      <c r="G52" s="24">
        <f t="shared" si="2"/>
        <v>2302664</v>
      </c>
      <c r="H52" s="27" t="s">
        <v>87</v>
      </c>
      <c r="I52" s="106"/>
    </row>
    <row r="53" spans="1:9" s="8" customFormat="1" ht="49.5">
      <c r="A53" s="89" t="s">
        <v>202</v>
      </c>
      <c r="B53" s="22" t="s">
        <v>67</v>
      </c>
      <c r="C53" s="23" t="s">
        <v>90</v>
      </c>
      <c r="D53" s="22" t="s">
        <v>35</v>
      </c>
      <c r="E53" s="38">
        <f>ROUND((2.19/1000)*2000,2)</f>
        <v>4.38</v>
      </c>
      <c r="F53" s="24">
        <v>408462</v>
      </c>
      <c r="G53" s="24">
        <f t="shared" si="2"/>
        <v>1789064</v>
      </c>
      <c r="H53" s="27" t="s">
        <v>69</v>
      </c>
      <c r="I53" s="106"/>
    </row>
    <row r="54" spans="1:9" s="8" customFormat="1" ht="82.5">
      <c r="A54" s="89" t="s">
        <v>203</v>
      </c>
      <c r="B54" s="22" t="s">
        <v>59</v>
      </c>
      <c r="C54" s="23" t="s">
        <v>60</v>
      </c>
      <c r="D54" s="22" t="s">
        <v>35</v>
      </c>
      <c r="E54" s="38">
        <v>7.28</v>
      </c>
      <c r="F54" s="24">
        <v>408462</v>
      </c>
      <c r="G54" s="24">
        <f t="shared" si="2"/>
        <v>2973603</v>
      </c>
      <c r="H54" s="27" t="s">
        <v>148</v>
      </c>
      <c r="I54" s="107"/>
    </row>
    <row r="55" spans="1:9" s="8" customFormat="1" ht="17.25">
      <c r="A55" s="31" t="s">
        <v>61</v>
      </c>
      <c r="B55" s="31"/>
      <c r="C55" s="32" t="s">
        <v>23</v>
      </c>
      <c r="D55" s="36" t="s">
        <v>35</v>
      </c>
      <c r="E55" s="45">
        <f>SUM(E56:E64)</f>
        <v>72.1848</v>
      </c>
      <c r="F55" s="46"/>
      <c r="G55" s="34">
        <f>SUM(G56:G64)</f>
        <v>29484749</v>
      </c>
      <c r="H55" s="34"/>
      <c r="I55" s="35"/>
    </row>
    <row r="56" spans="1:9" s="8" customFormat="1" ht="16.5">
      <c r="A56" s="89" t="s">
        <v>197</v>
      </c>
      <c r="B56" s="22" t="s">
        <v>54</v>
      </c>
      <c r="C56" s="23" t="s">
        <v>88</v>
      </c>
      <c r="D56" s="22" t="s">
        <v>35</v>
      </c>
      <c r="E56" s="38">
        <f>ROUND((1.58/1000)*10000,2)*1</f>
        <v>15.8</v>
      </c>
      <c r="F56" s="24">
        <v>408462</v>
      </c>
      <c r="G56" s="24">
        <f aca="true" t="shared" si="3" ref="G56:G64">ROUND(E56*F56,0)</f>
        <v>6453700</v>
      </c>
      <c r="H56" s="108" t="s">
        <v>149</v>
      </c>
      <c r="I56" s="105" t="s">
        <v>204</v>
      </c>
    </row>
    <row r="57" spans="1:9" s="8" customFormat="1" ht="16.5">
      <c r="A57" s="89" t="s">
        <v>198</v>
      </c>
      <c r="B57" s="22" t="s">
        <v>56</v>
      </c>
      <c r="C57" s="23" t="s">
        <v>150</v>
      </c>
      <c r="D57" s="22" t="s">
        <v>35</v>
      </c>
      <c r="E57" s="38">
        <f>ROUND((4.76/1000)*833,2)*1*1.42</f>
        <v>5.6374</v>
      </c>
      <c r="F57" s="24">
        <v>408462</v>
      </c>
      <c r="G57" s="24">
        <f t="shared" si="3"/>
        <v>2302664</v>
      </c>
      <c r="H57" s="109"/>
      <c r="I57" s="111"/>
    </row>
    <row r="58" spans="1:9" s="8" customFormat="1" ht="16.5">
      <c r="A58" s="89" t="s">
        <v>199</v>
      </c>
      <c r="B58" s="22" t="s">
        <v>145</v>
      </c>
      <c r="C58" s="23" t="s">
        <v>50</v>
      </c>
      <c r="D58" s="22" t="s">
        <v>35</v>
      </c>
      <c r="E58" s="38">
        <f>ROUND((90.91/1000)*83,2)*1</f>
        <v>7.55</v>
      </c>
      <c r="F58" s="24">
        <v>408462</v>
      </c>
      <c r="G58" s="24">
        <f t="shared" si="3"/>
        <v>3083888</v>
      </c>
      <c r="H58" s="109"/>
      <c r="I58" s="111"/>
    </row>
    <row r="59" spans="1:9" s="8" customFormat="1" ht="16.5">
      <c r="A59" s="89" t="s">
        <v>200</v>
      </c>
      <c r="B59" s="22" t="s">
        <v>45</v>
      </c>
      <c r="C59" s="23" t="s">
        <v>62</v>
      </c>
      <c r="D59" s="22" t="s">
        <v>35</v>
      </c>
      <c r="E59" s="38">
        <f>ROUND((5.88/1000)*833,2)*1*1</f>
        <v>4.9</v>
      </c>
      <c r="F59" s="24">
        <v>408462</v>
      </c>
      <c r="G59" s="24">
        <f t="shared" si="3"/>
        <v>2001464</v>
      </c>
      <c r="H59" s="109"/>
      <c r="I59" s="111"/>
    </row>
    <row r="60" spans="1:9" s="8" customFormat="1" ht="16.5">
      <c r="A60" s="89" t="s">
        <v>202</v>
      </c>
      <c r="B60" s="22" t="s">
        <v>57</v>
      </c>
      <c r="C60" s="23" t="s">
        <v>89</v>
      </c>
      <c r="D60" s="22" t="s">
        <v>35</v>
      </c>
      <c r="E60" s="38">
        <f>ROUND((1.05/1000)*10000,2)*1</f>
        <v>10.5</v>
      </c>
      <c r="F60" s="24">
        <v>408462</v>
      </c>
      <c r="G60" s="24">
        <f t="shared" si="3"/>
        <v>4288851</v>
      </c>
      <c r="H60" s="109"/>
      <c r="I60" s="111"/>
    </row>
    <row r="61" spans="1:9" s="8" customFormat="1" ht="16.5">
      <c r="A61" s="89" t="s">
        <v>203</v>
      </c>
      <c r="B61" s="22" t="s">
        <v>56</v>
      </c>
      <c r="C61" s="23" t="s">
        <v>151</v>
      </c>
      <c r="D61" s="22" t="s">
        <v>35</v>
      </c>
      <c r="E61" s="38">
        <f>ROUND((4.76/1000)*833,2)*1*1.42</f>
        <v>5.6374</v>
      </c>
      <c r="F61" s="24">
        <v>408462</v>
      </c>
      <c r="G61" s="24">
        <f t="shared" si="3"/>
        <v>2302664</v>
      </c>
      <c r="H61" s="109"/>
      <c r="I61" s="111"/>
    </row>
    <row r="62" spans="1:9" s="8" customFormat="1" ht="16.5">
      <c r="A62" s="89" t="s">
        <v>206</v>
      </c>
      <c r="B62" s="22" t="s">
        <v>57</v>
      </c>
      <c r="C62" s="23" t="s">
        <v>91</v>
      </c>
      <c r="D62" s="22" t="s">
        <v>35</v>
      </c>
      <c r="E62" s="38">
        <f>ROUND((1.05/1000)*10000,2)*1</f>
        <v>10.5</v>
      </c>
      <c r="F62" s="24">
        <v>408462</v>
      </c>
      <c r="G62" s="24">
        <f t="shared" si="3"/>
        <v>4288851</v>
      </c>
      <c r="H62" s="109"/>
      <c r="I62" s="111"/>
    </row>
    <row r="63" spans="1:9" s="8" customFormat="1" ht="16.5">
      <c r="A63" s="89" t="s">
        <v>207</v>
      </c>
      <c r="B63" s="22" t="s">
        <v>67</v>
      </c>
      <c r="C63" s="23" t="s">
        <v>90</v>
      </c>
      <c r="D63" s="22" t="s">
        <v>35</v>
      </c>
      <c r="E63" s="38">
        <f>ROUND((2.19/1000)*2000,2)</f>
        <v>4.38</v>
      </c>
      <c r="F63" s="24">
        <v>408462</v>
      </c>
      <c r="G63" s="24">
        <f t="shared" si="3"/>
        <v>1789064</v>
      </c>
      <c r="H63" s="109"/>
      <c r="I63" s="111"/>
    </row>
    <row r="64" spans="1:9" s="8" customFormat="1" ht="16.5">
      <c r="A64" s="89" t="s">
        <v>208</v>
      </c>
      <c r="B64" s="22" t="s">
        <v>59</v>
      </c>
      <c r="C64" s="23" t="s">
        <v>60</v>
      </c>
      <c r="D64" s="22" t="s">
        <v>35</v>
      </c>
      <c r="E64" s="38">
        <v>7.28</v>
      </c>
      <c r="F64" s="24">
        <v>408462</v>
      </c>
      <c r="G64" s="24">
        <f t="shared" si="3"/>
        <v>2973603</v>
      </c>
      <c r="H64" s="110"/>
      <c r="I64" s="112"/>
    </row>
    <row r="65" spans="1:9" s="91" customFormat="1" ht="17.25">
      <c r="A65" s="31" t="s">
        <v>152</v>
      </c>
      <c r="B65" s="31"/>
      <c r="C65" s="32" t="s">
        <v>24</v>
      </c>
      <c r="D65" s="31" t="s">
        <v>35</v>
      </c>
      <c r="E65" s="45">
        <f>SUM(E66:E74)</f>
        <v>73.328</v>
      </c>
      <c r="F65" s="46"/>
      <c r="G65" s="34">
        <f>SUM(G66:G74)</f>
        <v>29951702</v>
      </c>
      <c r="H65" s="34"/>
      <c r="I65" s="35"/>
    </row>
    <row r="66" spans="1:9" s="8" customFormat="1" ht="16.5">
      <c r="A66" s="89" t="s">
        <v>197</v>
      </c>
      <c r="B66" s="22" t="s">
        <v>63</v>
      </c>
      <c r="C66" s="23" t="s">
        <v>88</v>
      </c>
      <c r="D66" s="22" t="s">
        <v>35</v>
      </c>
      <c r="E66" s="38">
        <f>ROUND((1.3/1000)*10000,2)*1</f>
        <v>13</v>
      </c>
      <c r="F66" s="24">
        <v>408462</v>
      </c>
      <c r="G66" s="24">
        <f aca="true" t="shared" si="4" ref="G66:G80">ROUND(E66*F66,0)</f>
        <v>5310006</v>
      </c>
      <c r="H66" s="108" t="s">
        <v>153</v>
      </c>
      <c r="I66" s="105" t="s">
        <v>204</v>
      </c>
    </row>
    <row r="67" spans="1:9" s="8" customFormat="1" ht="16.5">
      <c r="A67" s="89" t="s">
        <v>198</v>
      </c>
      <c r="B67" s="22" t="s">
        <v>56</v>
      </c>
      <c r="C67" s="23" t="s">
        <v>146</v>
      </c>
      <c r="D67" s="22" t="s">
        <v>35</v>
      </c>
      <c r="E67" s="38">
        <f>ROUND((4.76/1000)*833,2)*1*1.42</f>
        <v>5.6374</v>
      </c>
      <c r="F67" s="24">
        <v>408462</v>
      </c>
      <c r="G67" s="24">
        <f t="shared" si="4"/>
        <v>2302664</v>
      </c>
      <c r="H67" s="109"/>
      <c r="I67" s="111"/>
    </row>
    <row r="68" spans="1:9" s="8" customFormat="1" ht="16.5">
      <c r="A68" s="89" t="s">
        <v>199</v>
      </c>
      <c r="B68" s="22" t="s">
        <v>145</v>
      </c>
      <c r="C68" s="23" t="s">
        <v>50</v>
      </c>
      <c r="D68" s="22" t="s">
        <v>35</v>
      </c>
      <c r="E68" s="38">
        <f>ROUND((90.91/1000)*83,2)*1</f>
        <v>7.55</v>
      </c>
      <c r="F68" s="24">
        <v>408462</v>
      </c>
      <c r="G68" s="24">
        <f t="shared" si="4"/>
        <v>3083888</v>
      </c>
      <c r="H68" s="109"/>
      <c r="I68" s="111"/>
    </row>
    <row r="69" spans="1:9" s="8" customFormat="1" ht="16.5">
      <c r="A69" s="89" t="s">
        <v>200</v>
      </c>
      <c r="B69" s="22" t="s">
        <v>45</v>
      </c>
      <c r="C69" s="23" t="s">
        <v>62</v>
      </c>
      <c r="D69" s="22" t="s">
        <v>35</v>
      </c>
      <c r="E69" s="38">
        <f>ROUND((5.88/1000)*833,2)*1</f>
        <v>4.9</v>
      </c>
      <c r="F69" s="24">
        <v>408462</v>
      </c>
      <c r="G69" s="24">
        <f t="shared" si="4"/>
        <v>2001464</v>
      </c>
      <c r="H69" s="109"/>
      <c r="I69" s="111"/>
    </row>
    <row r="70" spans="1:9" s="8" customFormat="1" ht="16.5">
      <c r="A70" s="89" t="s">
        <v>202</v>
      </c>
      <c r="B70" s="22" t="s">
        <v>64</v>
      </c>
      <c r="C70" s="23" t="s">
        <v>89</v>
      </c>
      <c r="D70" s="22" t="s">
        <v>35</v>
      </c>
      <c r="E70" s="38">
        <f>ROUND((1.25/1000)*10000,2)*1</f>
        <v>12.5</v>
      </c>
      <c r="F70" s="24">
        <v>408462</v>
      </c>
      <c r="G70" s="24">
        <f t="shared" si="4"/>
        <v>5105775</v>
      </c>
      <c r="H70" s="109"/>
      <c r="I70" s="111"/>
    </row>
    <row r="71" spans="1:9" s="8" customFormat="1" ht="16.5">
      <c r="A71" s="89" t="s">
        <v>203</v>
      </c>
      <c r="B71" s="22" t="s">
        <v>56</v>
      </c>
      <c r="C71" s="23" t="s">
        <v>154</v>
      </c>
      <c r="D71" s="22" t="s">
        <v>35</v>
      </c>
      <c r="E71" s="38">
        <f>ROUND((4.76/1000)*825,2)*1*1.42</f>
        <v>5.5806</v>
      </c>
      <c r="F71" s="24">
        <v>408462</v>
      </c>
      <c r="G71" s="24">
        <f t="shared" si="4"/>
        <v>2279463</v>
      </c>
      <c r="H71" s="109"/>
      <c r="I71" s="111"/>
    </row>
    <row r="72" spans="1:9" s="8" customFormat="1" ht="16.5">
      <c r="A72" s="89" t="s">
        <v>206</v>
      </c>
      <c r="B72" s="22" t="s">
        <v>64</v>
      </c>
      <c r="C72" s="23" t="s">
        <v>91</v>
      </c>
      <c r="D72" s="22" t="s">
        <v>35</v>
      </c>
      <c r="E72" s="38">
        <f>ROUND((1.25/1000)*10000,2)*1</f>
        <v>12.5</v>
      </c>
      <c r="F72" s="24">
        <v>408462</v>
      </c>
      <c r="G72" s="24">
        <f t="shared" si="4"/>
        <v>5105775</v>
      </c>
      <c r="H72" s="109"/>
      <c r="I72" s="111"/>
    </row>
    <row r="73" spans="1:9" s="8" customFormat="1" ht="16.5">
      <c r="A73" s="89" t="s">
        <v>207</v>
      </c>
      <c r="B73" s="22" t="s">
        <v>67</v>
      </c>
      <c r="C73" s="23" t="s">
        <v>90</v>
      </c>
      <c r="D73" s="22" t="s">
        <v>35</v>
      </c>
      <c r="E73" s="38">
        <f>ROUND((2.19/1000)*2000,2)</f>
        <v>4.38</v>
      </c>
      <c r="F73" s="24">
        <v>408462</v>
      </c>
      <c r="G73" s="24">
        <f t="shared" si="4"/>
        <v>1789064</v>
      </c>
      <c r="H73" s="109"/>
      <c r="I73" s="111"/>
    </row>
    <row r="74" spans="1:9" s="8" customFormat="1" ht="16.5">
      <c r="A74" s="89" t="s">
        <v>208</v>
      </c>
      <c r="B74" s="22" t="s">
        <v>59</v>
      </c>
      <c r="C74" s="23" t="s">
        <v>60</v>
      </c>
      <c r="D74" s="22" t="s">
        <v>35</v>
      </c>
      <c r="E74" s="38">
        <v>7.28</v>
      </c>
      <c r="F74" s="24">
        <v>408462</v>
      </c>
      <c r="G74" s="24">
        <f t="shared" si="4"/>
        <v>2973603</v>
      </c>
      <c r="H74" s="110"/>
      <c r="I74" s="112"/>
    </row>
    <row r="75" spans="1:9" s="91" customFormat="1" ht="17.25">
      <c r="A75" s="31" t="s">
        <v>155</v>
      </c>
      <c r="B75" s="31"/>
      <c r="C75" s="32" t="s">
        <v>65</v>
      </c>
      <c r="D75" s="31" t="s">
        <v>35</v>
      </c>
      <c r="E75" s="45">
        <f>SUM(E76:E78)</f>
        <v>24.16</v>
      </c>
      <c r="F75" s="46"/>
      <c r="G75" s="34">
        <f>SUM(G76:G78)</f>
        <v>9868442</v>
      </c>
      <c r="H75" s="34"/>
      <c r="I75" s="35"/>
    </row>
    <row r="76" spans="1:9" s="8" customFormat="1" ht="16.5" customHeight="1">
      <c r="A76" s="89" t="s">
        <v>197</v>
      </c>
      <c r="B76" s="22" t="s">
        <v>64</v>
      </c>
      <c r="C76" s="23" t="s">
        <v>66</v>
      </c>
      <c r="D76" s="22" t="s">
        <v>35</v>
      </c>
      <c r="E76" s="38">
        <f>ROUND((1.25/1000)*10000,2)*1</f>
        <v>12.5</v>
      </c>
      <c r="F76" s="24">
        <v>408462</v>
      </c>
      <c r="G76" s="24">
        <f t="shared" si="4"/>
        <v>5105775</v>
      </c>
      <c r="H76" s="108" t="s">
        <v>156</v>
      </c>
      <c r="I76" s="105" t="s">
        <v>204</v>
      </c>
    </row>
    <row r="77" spans="1:9" s="8" customFormat="1" ht="16.5">
      <c r="A77" s="89" t="s">
        <v>198</v>
      </c>
      <c r="B77" s="22" t="s">
        <v>67</v>
      </c>
      <c r="C77" s="23" t="s">
        <v>68</v>
      </c>
      <c r="D77" s="22" t="s">
        <v>35</v>
      </c>
      <c r="E77" s="38">
        <f>ROUND((2.19/1000)*2000,2)</f>
        <v>4.38</v>
      </c>
      <c r="F77" s="24">
        <v>408462</v>
      </c>
      <c r="G77" s="24">
        <f t="shared" si="4"/>
        <v>1789064</v>
      </c>
      <c r="H77" s="109"/>
      <c r="I77" s="106"/>
    </row>
    <row r="78" spans="1:9" s="8" customFormat="1" ht="16.5">
      <c r="A78" s="89" t="s">
        <v>199</v>
      </c>
      <c r="B78" s="22" t="s">
        <v>59</v>
      </c>
      <c r="C78" s="23" t="s">
        <v>60</v>
      </c>
      <c r="D78" s="22" t="s">
        <v>35</v>
      </c>
      <c r="E78" s="38">
        <v>7.28</v>
      </c>
      <c r="F78" s="24">
        <v>408462</v>
      </c>
      <c r="G78" s="24">
        <f t="shared" si="4"/>
        <v>2973603</v>
      </c>
      <c r="H78" s="110"/>
      <c r="I78" s="106"/>
    </row>
    <row r="79" spans="1:9" s="8" customFormat="1" ht="17.25">
      <c r="A79" s="88"/>
      <c r="B79" s="31" t="s">
        <v>157</v>
      </c>
      <c r="C79" s="32" t="s">
        <v>70</v>
      </c>
      <c r="D79" s="31"/>
      <c r="E79" s="45">
        <f>SUM(E80:E82)</f>
        <v>24.16</v>
      </c>
      <c r="F79" s="46"/>
      <c r="G79" s="34">
        <f>SUM(G80:G82)</f>
        <v>9868442</v>
      </c>
      <c r="H79" s="34"/>
      <c r="I79" s="106"/>
    </row>
    <row r="80" spans="1:9" s="8" customFormat="1" ht="16.5">
      <c r="A80" s="89" t="s">
        <v>197</v>
      </c>
      <c r="B80" s="22" t="s">
        <v>64</v>
      </c>
      <c r="C80" s="23" t="s">
        <v>66</v>
      </c>
      <c r="D80" s="22" t="s">
        <v>35</v>
      </c>
      <c r="E80" s="38">
        <f>ROUND((1.25/1000)*10000,2)*1</f>
        <v>12.5</v>
      </c>
      <c r="F80" s="24">
        <v>408462</v>
      </c>
      <c r="G80" s="24">
        <f t="shared" si="4"/>
        <v>5105775</v>
      </c>
      <c r="H80" s="108" t="s">
        <v>158</v>
      </c>
      <c r="I80" s="106"/>
    </row>
    <row r="81" spans="1:9" s="8" customFormat="1" ht="16.5">
      <c r="A81" s="89" t="s">
        <v>198</v>
      </c>
      <c r="B81" s="22" t="s">
        <v>67</v>
      </c>
      <c r="C81" s="23" t="s">
        <v>68</v>
      </c>
      <c r="D81" s="22" t="s">
        <v>35</v>
      </c>
      <c r="E81" s="38">
        <f>ROUND((2.19/1000)*2000,2)</f>
        <v>4.38</v>
      </c>
      <c r="F81" s="24">
        <v>408462</v>
      </c>
      <c r="G81" s="24">
        <f>ROUND(E81*F81,0)</f>
        <v>1789064</v>
      </c>
      <c r="H81" s="109"/>
      <c r="I81" s="106"/>
    </row>
    <row r="82" spans="1:9" s="8" customFormat="1" ht="16.5">
      <c r="A82" s="89" t="s">
        <v>199</v>
      </c>
      <c r="B82" s="22" t="s">
        <v>59</v>
      </c>
      <c r="C82" s="23" t="s">
        <v>60</v>
      </c>
      <c r="D82" s="22" t="s">
        <v>35</v>
      </c>
      <c r="E82" s="38">
        <v>7.28</v>
      </c>
      <c r="F82" s="24">
        <v>408462</v>
      </c>
      <c r="G82" s="24">
        <f>ROUND(E82*F82,0)</f>
        <v>2973603</v>
      </c>
      <c r="H82" s="110"/>
      <c r="I82" s="107"/>
    </row>
    <row r="83" spans="1:9" s="8" customFormat="1" ht="33">
      <c r="A83" s="14" t="s">
        <v>74</v>
      </c>
      <c r="B83" s="14"/>
      <c r="C83" s="18" t="s">
        <v>182</v>
      </c>
      <c r="D83" s="14"/>
      <c r="E83" s="47"/>
      <c r="F83" s="19"/>
      <c r="G83" s="48">
        <f>ROUND(G23*5%,0)</f>
        <v>9021586</v>
      </c>
      <c r="H83" s="17" t="s">
        <v>181</v>
      </c>
      <c r="I83" s="28" t="s">
        <v>211</v>
      </c>
    </row>
    <row r="84" spans="1:9" s="8" customFormat="1" ht="16.5">
      <c r="A84" s="14" t="s">
        <v>75</v>
      </c>
      <c r="B84" s="14"/>
      <c r="C84" s="18" t="s">
        <v>159</v>
      </c>
      <c r="D84" s="14"/>
      <c r="E84" s="47">
        <f>E85+E87+E89+E91+E93</f>
        <v>10.604427</v>
      </c>
      <c r="F84" s="19"/>
      <c r="G84" s="48">
        <f>G85+G87+G89+G91+G93</f>
        <v>5476784</v>
      </c>
      <c r="H84" s="17"/>
      <c r="I84" s="15"/>
    </row>
    <row r="85" spans="1:9" s="8" customFormat="1" ht="16.5">
      <c r="A85" s="14">
        <v>1</v>
      </c>
      <c r="B85" s="14"/>
      <c r="C85" s="18" t="s">
        <v>20</v>
      </c>
      <c r="D85" s="14"/>
      <c r="E85" s="47">
        <f>E86</f>
        <v>4.7894429999999995</v>
      </c>
      <c r="F85" s="19"/>
      <c r="G85" s="48">
        <f>SUM(G86)</f>
        <v>2473565</v>
      </c>
      <c r="H85" s="17"/>
      <c r="I85" s="15"/>
    </row>
    <row r="86" spans="1:9" s="8" customFormat="1" ht="16.5">
      <c r="A86" s="22" t="s">
        <v>16</v>
      </c>
      <c r="B86" s="22"/>
      <c r="C86" s="23" t="s">
        <v>213</v>
      </c>
      <c r="D86" s="22" t="s">
        <v>35</v>
      </c>
      <c r="E86" s="38">
        <f>E40*3%</f>
        <v>4.7894429999999995</v>
      </c>
      <c r="F86" s="24">
        <v>516462</v>
      </c>
      <c r="G86" s="49">
        <f>ROUND(E86*F86,0)</f>
        <v>2473565</v>
      </c>
      <c r="H86" s="108" t="s">
        <v>212</v>
      </c>
      <c r="I86" s="113" t="s">
        <v>183</v>
      </c>
    </row>
    <row r="87" spans="1:9" s="8" customFormat="1" ht="16.5">
      <c r="A87" s="14">
        <v>2</v>
      </c>
      <c r="B87" s="14"/>
      <c r="C87" s="18" t="s">
        <v>23</v>
      </c>
      <c r="D87" s="14" t="s">
        <v>35</v>
      </c>
      <c r="E87" s="47">
        <f>E88</f>
        <v>2.1655439999999997</v>
      </c>
      <c r="F87" s="19"/>
      <c r="G87" s="48">
        <f>G88</f>
        <v>1118421</v>
      </c>
      <c r="H87" s="109"/>
      <c r="I87" s="114"/>
    </row>
    <row r="88" spans="1:9" s="8" customFormat="1" ht="16.5">
      <c r="A88" s="22" t="s">
        <v>16</v>
      </c>
      <c r="B88" s="22"/>
      <c r="C88" s="23" t="s">
        <v>213</v>
      </c>
      <c r="D88" s="22" t="s">
        <v>35</v>
      </c>
      <c r="E88" s="38">
        <f>E55*3%</f>
        <v>2.1655439999999997</v>
      </c>
      <c r="F88" s="24">
        <v>516462</v>
      </c>
      <c r="G88" s="49">
        <f>ROUND(E88*F88,0)</f>
        <v>1118421</v>
      </c>
      <c r="H88" s="109"/>
      <c r="I88" s="114"/>
    </row>
    <row r="89" spans="1:9" s="8" customFormat="1" ht="16.5">
      <c r="A89" s="14">
        <v>3</v>
      </c>
      <c r="B89" s="14"/>
      <c r="C89" s="18" t="s">
        <v>24</v>
      </c>
      <c r="D89" s="14" t="s">
        <v>35</v>
      </c>
      <c r="E89" s="47">
        <f>E90</f>
        <v>2.19984</v>
      </c>
      <c r="F89" s="19"/>
      <c r="G89" s="48">
        <f>G90</f>
        <v>1136134</v>
      </c>
      <c r="H89" s="109"/>
      <c r="I89" s="114"/>
    </row>
    <row r="90" spans="1:9" s="8" customFormat="1" ht="16.5">
      <c r="A90" s="22" t="s">
        <v>16</v>
      </c>
      <c r="B90" s="22"/>
      <c r="C90" s="23" t="s">
        <v>213</v>
      </c>
      <c r="D90" s="22" t="s">
        <v>35</v>
      </c>
      <c r="E90" s="38">
        <f>E65*3%</f>
        <v>2.19984</v>
      </c>
      <c r="F90" s="24">
        <v>516462</v>
      </c>
      <c r="G90" s="49">
        <f>ROUND(E90*F90,0)</f>
        <v>1136134</v>
      </c>
      <c r="H90" s="109"/>
      <c r="I90" s="114"/>
    </row>
    <row r="91" spans="1:9" s="8" customFormat="1" ht="16.5">
      <c r="A91" s="14">
        <v>4</v>
      </c>
      <c r="B91" s="14"/>
      <c r="C91" s="18" t="s">
        <v>65</v>
      </c>
      <c r="D91" s="14" t="s">
        <v>35</v>
      </c>
      <c r="E91" s="47">
        <f>E92</f>
        <v>0.7248</v>
      </c>
      <c r="F91" s="19"/>
      <c r="G91" s="48">
        <f>G92</f>
        <v>374332</v>
      </c>
      <c r="H91" s="109"/>
      <c r="I91" s="114"/>
    </row>
    <row r="92" spans="1:9" s="8" customFormat="1" ht="16.5">
      <c r="A92" s="22" t="s">
        <v>16</v>
      </c>
      <c r="B92" s="22"/>
      <c r="C92" s="23" t="s">
        <v>213</v>
      </c>
      <c r="D92" s="22" t="s">
        <v>35</v>
      </c>
      <c r="E92" s="38">
        <f>E75*3%</f>
        <v>0.7248</v>
      </c>
      <c r="F92" s="24">
        <v>516462</v>
      </c>
      <c r="G92" s="49">
        <f>ROUND(E92*F92,0)</f>
        <v>374332</v>
      </c>
      <c r="H92" s="109"/>
      <c r="I92" s="114"/>
    </row>
    <row r="93" spans="1:9" s="8" customFormat="1" ht="16.5">
      <c r="A93" s="14">
        <v>5</v>
      </c>
      <c r="B93" s="14"/>
      <c r="C93" s="18" t="s">
        <v>70</v>
      </c>
      <c r="D93" s="14" t="s">
        <v>35</v>
      </c>
      <c r="E93" s="47">
        <f>E94</f>
        <v>0.7248</v>
      </c>
      <c r="F93" s="19"/>
      <c r="G93" s="48">
        <f>G94</f>
        <v>374332</v>
      </c>
      <c r="H93" s="109"/>
      <c r="I93" s="114"/>
    </row>
    <row r="94" spans="1:9" s="8" customFormat="1" ht="33">
      <c r="A94" s="22" t="s">
        <v>16</v>
      </c>
      <c r="B94" s="22"/>
      <c r="C94" s="23" t="s">
        <v>73</v>
      </c>
      <c r="D94" s="22" t="s">
        <v>35</v>
      </c>
      <c r="E94" s="38">
        <f>E79*3%</f>
        <v>0.7248</v>
      </c>
      <c r="F94" s="24">
        <v>516462</v>
      </c>
      <c r="G94" s="49">
        <f>ROUND(E94*F94,0)</f>
        <v>374332</v>
      </c>
      <c r="H94" s="110"/>
      <c r="I94" s="115"/>
    </row>
    <row r="95" spans="1:9" s="8" customFormat="1" ht="33">
      <c r="A95" s="14" t="s">
        <v>76</v>
      </c>
      <c r="B95" s="14"/>
      <c r="C95" s="18" t="s">
        <v>188</v>
      </c>
      <c r="D95" s="14"/>
      <c r="E95" s="47">
        <f>SUM(E96:E97)</f>
        <v>30.080000000000002</v>
      </c>
      <c r="F95" s="19"/>
      <c r="G95" s="48">
        <f>SUM(G96:G97)</f>
        <v>15535177</v>
      </c>
      <c r="H95" s="17"/>
      <c r="I95" s="15"/>
    </row>
    <row r="96" spans="1:9" s="8" customFormat="1" ht="66">
      <c r="A96" s="22">
        <v>1</v>
      </c>
      <c r="B96" s="22" t="s">
        <v>214</v>
      </c>
      <c r="C96" s="23" t="s">
        <v>215</v>
      </c>
      <c r="D96" s="22" t="s">
        <v>35</v>
      </c>
      <c r="E96" s="38">
        <v>7.03</v>
      </c>
      <c r="F96" s="24">
        <v>516462</v>
      </c>
      <c r="G96" s="49">
        <f>ROUND(F96*E96,0)</f>
        <v>3630728</v>
      </c>
      <c r="H96" s="27" t="s">
        <v>72</v>
      </c>
      <c r="I96" s="105" t="s">
        <v>204</v>
      </c>
    </row>
    <row r="97" spans="1:9" s="8" customFormat="1" ht="66">
      <c r="A97" s="22">
        <v>2</v>
      </c>
      <c r="B97" s="22" t="s">
        <v>216</v>
      </c>
      <c r="C97" s="23" t="s">
        <v>217</v>
      </c>
      <c r="D97" s="22" t="s">
        <v>35</v>
      </c>
      <c r="E97" s="38">
        <f>4.61*5</f>
        <v>23.05</v>
      </c>
      <c r="F97" s="24">
        <v>516462</v>
      </c>
      <c r="G97" s="49">
        <f>ROUND(F97*E97,0)</f>
        <v>11904449</v>
      </c>
      <c r="H97" s="27" t="s">
        <v>72</v>
      </c>
      <c r="I97" s="107"/>
    </row>
    <row r="98" spans="1:9" s="8" customFormat="1" ht="16.5">
      <c r="A98" s="22">
        <v>3</v>
      </c>
      <c r="B98" s="22"/>
      <c r="C98" s="23" t="s">
        <v>160</v>
      </c>
      <c r="D98" s="22" t="s">
        <v>35</v>
      </c>
      <c r="E98" s="38">
        <f>SUM(E99:E103)</f>
        <v>24.743663000000005</v>
      </c>
      <c r="F98" s="24"/>
      <c r="G98" s="49">
        <f>SUM(G99:G103)</f>
        <v>12779162</v>
      </c>
      <c r="H98" s="27"/>
      <c r="I98" s="28"/>
    </row>
    <row r="99" spans="1:9" s="8" customFormat="1" ht="16.5">
      <c r="A99" s="22" t="s">
        <v>197</v>
      </c>
      <c r="B99" s="22"/>
      <c r="C99" s="23" t="s">
        <v>20</v>
      </c>
      <c r="D99" s="22" t="s">
        <v>35</v>
      </c>
      <c r="E99" s="38">
        <f>E40*7%</f>
        <v>11.175367000000001</v>
      </c>
      <c r="F99" s="24">
        <v>516462</v>
      </c>
      <c r="G99" s="49">
        <f>ROUND(E99*F99,0)</f>
        <v>5771652</v>
      </c>
      <c r="H99" s="108" t="s">
        <v>218</v>
      </c>
      <c r="I99" s="113" t="s">
        <v>183</v>
      </c>
    </row>
    <row r="100" spans="1:9" s="8" customFormat="1" ht="16.5">
      <c r="A100" s="22" t="s">
        <v>198</v>
      </c>
      <c r="B100" s="22"/>
      <c r="C100" s="23" t="s">
        <v>23</v>
      </c>
      <c r="D100" s="22" t="s">
        <v>35</v>
      </c>
      <c r="E100" s="38">
        <f>E55*7%</f>
        <v>5.052936</v>
      </c>
      <c r="F100" s="24">
        <v>516462</v>
      </c>
      <c r="G100" s="49">
        <f>ROUND(E100*F100,0)</f>
        <v>2609649</v>
      </c>
      <c r="H100" s="109"/>
      <c r="I100" s="114"/>
    </row>
    <row r="101" spans="1:9" s="8" customFormat="1" ht="16.5">
      <c r="A101" s="22" t="s">
        <v>199</v>
      </c>
      <c r="B101" s="22"/>
      <c r="C101" s="23" t="s">
        <v>24</v>
      </c>
      <c r="D101" s="22" t="s">
        <v>35</v>
      </c>
      <c r="E101" s="38">
        <f>E65*7%</f>
        <v>5.132960000000001</v>
      </c>
      <c r="F101" s="24">
        <v>516462</v>
      </c>
      <c r="G101" s="49">
        <f>ROUND(E101*F101,0)</f>
        <v>2650979</v>
      </c>
      <c r="H101" s="109"/>
      <c r="I101" s="114"/>
    </row>
    <row r="102" spans="1:9" s="8" customFormat="1" ht="16.5">
      <c r="A102" s="22" t="s">
        <v>200</v>
      </c>
      <c r="B102" s="22"/>
      <c r="C102" s="23" t="s">
        <v>65</v>
      </c>
      <c r="D102" s="22" t="s">
        <v>35</v>
      </c>
      <c r="E102" s="38">
        <f>E75*7%</f>
        <v>1.6912000000000003</v>
      </c>
      <c r="F102" s="24">
        <v>516462</v>
      </c>
      <c r="G102" s="49">
        <f>ROUND(E102*F102,0)</f>
        <v>873441</v>
      </c>
      <c r="H102" s="109"/>
      <c r="I102" s="114"/>
    </row>
    <row r="103" spans="1:9" s="8" customFormat="1" ht="16.5">
      <c r="A103" s="22" t="s">
        <v>202</v>
      </c>
      <c r="B103" s="22"/>
      <c r="C103" s="23" t="s">
        <v>70</v>
      </c>
      <c r="D103" s="22" t="s">
        <v>35</v>
      </c>
      <c r="E103" s="38">
        <f>E79*7%</f>
        <v>1.6912000000000003</v>
      </c>
      <c r="F103" s="24">
        <v>516462</v>
      </c>
      <c r="G103" s="49">
        <f>ROUND(E103*F103,0)</f>
        <v>873441</v>
      </c>
      <c r="H103" s="110"/>
      <c r="I103" s="115"/>
    </row>
    <row r="104" spans="1:9" s="8" customFormat="1" ht="16.5">
      <c r="A104" s="14" t="s">
        <v>79</v>
      </c>
      <c r="B104" s="14"/>
      <c r="C104" s="18" t="s">
        <v>77</v>
      </c>
      <c r="D104" s="22" t="s">
        <v>35</v>
      </c>
      <c r="E104" s="47"/>
      <c r="F104" s="19"/>
      <c r="G104" s="48">
        <f>SUM(G105:G109)</f>
        <v>68859047.9792</v>
      </c>
      <c r="H104" s="17"/>
      <c r="I104" s="15"/>
    </row>
    <row r="105" spans="1:9" s="8" customFormat="1" ht="99">
      <c r="A105" s="22">
        <v>1</v>
      </c>
      <c r="B105" s="14"/>
      <c r="C105" s="50" t="s">
        <v>190</v>
      </c>
      <c r="D105" s="22"/>
      <c r="E105" s="47"/>
      <c r="F105" s="19"/>
      <c r="G105" s="53">
        <v>63521735</v>
      </c>
      <c r="H105" s="17"/>
      <c r="I105" s="28" t="s">
        <v>229</v>
      </c>
    </row>
    <row r="106" spans="1:9" s="8" customFormat="1" ht="49.5">
      <c r="A106" s="22">
        <v>2</v>
      </c>
      <c r="B106" s="22"/>
      <c r="C106" s="50" t="s">
        <v>219</v>
      </c>
      <c r="D106" s="51"/>
      <c r="E106" s="52"/>
      <c r="F106" s="52"/>
      <c r="G106" s="53">
        <f>G22*0.361%</f>
        <v>683926.43105</v>
      </c>
      <c r="H106" s="52"/>
      <c r="I106" s="28" t="s">
        <v>164</v>
      </c>
    </row>
    <row r="107" spans="1:9" s="8" customFormat="1" ht="49.5">
      <c r="A107" s="22">
        <v>3</v>
      </c>
      <c r="B107" s="22"/>
      <c r="C107" s="50" t="s">
        <v>220</v>
      </c>
      <c r="D107" s="22"/>
      <c r="E107" s="47"/>
      <c r="F107" s="19"/>
      <c r="G107" s="49">
        <f>G22*0.183%</f>
        <v>346699.54815</v>
      </c>
      <c r="H107" s="17"/>
      <c r="I107" s="28" t="s">
        <v>166</v>
      </c>
    </row>
    <row r="108" spans="1:9" s="8" customFormat="1" ht="33">
      <c r="A108" s="22">
        <v>4</v>
      </c>
      <c r="B108" s="22"/>
      <c r="C108" s="50" t="s">
        <v>167</v>
      </c>
      <c r="D108" s="14"/>
      <c r="E108" s="47"/>
      <c r="F108" s="19"/>
      <c r="G108" s="49">
        <f>ROUND((G22+G84+G95)*0.57%,0)</f>
        <v>1199652</v>
      </c>
      <c r="H108" s="17"/>
      <c r="I108" s="28" t="s">
        <v>78</v>
      </c>
    </row>
    <row r="109" spans="1:9" s="8" customFormat="1" ht="49.5">
      <c r="A109" s="22">
        <v>5</v>
      </c>
      <c r="B109" s="22"/>
      <c r="C109" s="50" t="s">
        <v>168</v>
      </c>
      <c r="D109" s="14"/>
      <c r="E109" s="47"/>
      <c r="F109" s="19"/>
      <c r="G109" s="49">
        <f>ROUND((G95)*20%,0)</f>
        <v>3107035</v>
      </c>
      <c r="H109" s="17"/>
      <c r="I109" s="28" t="s">
        <v>169</v>
      </c>
    </row>
    <row r="110" spans="1:9" s="8" customFormat="1" ht="16.5">
      <c r="A110" s="14" t="s">
        <v>170</v>
      </c>
      <c r="B110" s="14"/>
      <c r="C110" s="18" t="s">
        <v>178</v>
      </c>
      <c r="D110" s="14"/>
      <c r="E110" s="47"/>
      <c r="F110" s="19"/>
      <c r="G110" s="48">
        <f>SUM(G111:G112)</f>
        <v>23438881.25</v>
      </c>
      <c r="H110" s="17"/>
      <c r="I110" s="15"/>
    </row>
    <row r="111" spans="1:9" s="8" customFormat="1" ht="33">
      <c r="A111" s="22">
        <v>1</v>
      </c>
      <c r="B111" s="22"/>
      <c r="C111" s="23" t="s">
        <v>171</v>
      </c>
      <c r="D111" s="22"/>
      <c r="E111" s="38"/>
      <c r="F111" s="24"/>
      <c r="G111" s="49">
        <f>ROUND(5%*(G104+G95+G84+G22),0)</f>
        <v>13966216</v>
      </c>
      <c r="H111" s="27"/>
      <c r="I111" s="28" t="s">
        <v>221</v>
      </c>
    </row>
    <row r="112" spans="1:9" s="8" customFormat="1" ht="33">
      <c r="A112" s="22">
        <v>2</v>
      </c>
      <c r="B112" s="22"/>
      <c r="C112" s="23" t="s">
        <v>172</v>
      </c>
      <c r="D112" s="22"/>
      <c r="E112" s="38"/>
      <c r="F112" s="24"/>
      <c r="G112" s="49">
        <f>G22*5%</f>
        <v>9472665.25</v>
      </c>
      <c r="H112" s="27"/>
      <c r="I112" s="28" t="s">
        <v>222</v>
      </c>
    </row>
    <row r="113" spans="1:9" s="8" customFormat="1" ht="16.5" customHeight="1">
      <c r="A113" s="118" t="s">
        <v>186</v>
      </c>
      <c r="B113" s="118"/>
      <c r="C113" s="118"/>
      <c r="D113" s="14"/>
      <c r="E113" s="47"/>
      <c r="F113" s="19"/>
      <c r="G113" s="48">
        <f>G110+G104+G95+G84+G22</f>
        <v>302763195.2292</v>
      </c>
      <c r="H113" s="17"/>
      <c r="I113" s="15"/>
    </row>
  </sheetData>
  <sheetProtection/>
  <mergeCells count="41">
    <mergeCell ref="A20:A21"/>
    <mergeCell ref="C20:C21"/>
    <mergeCell ref="D20:G20"/>
    <mergeCell ref="H20:H21"/>
    <mergeCell ref="I20:I21"/>
    <mergeCell ref="A2:I2"/>
    <mergeCell ref="A3:I3"/>
    <mergeCell ref="B11:I11"/>
    <mergeCell ref="B12:I12"/>
    <mergeCell ref="B13:I13"/>
    <mergeCell ref="I99:I103"/>
    <mergeCell ref="I86:I94"/>
    <mergeCell ref="A113:C113"/>
    <mergeCell ref="H56:H64"/>
    <mergeCell ref="I56:I64"/>
    <mergeCell ref="H66:H74"/>
    <mergeCell ref="I66:I74"/>
    <mergeCell ref="H76:H78"/>
    <mergeCell ref="A1:I1"/>
    <mergeCell ref="H80:H82"/>
    <mergeCell ref="H86:H94"/>
    <mergeCell ref="H99:H103"/>
    <mergeCell ref="B6:I6"/>
    <mergeCell ref="B7:I7"/>
    <mergeCell ref="B8:I8"/>
    <mergeCell ref="B9:I9"/>
    <mergeCell ref="B10:I10"/>
    <mergeCell ref="I96:I97"/>
    <mergeCell ref="B15:I15"/>
    <mergeCell ref="B16:I16"/>
    <mergeCell ref="B17:I17"/>
    <mergeCell ref="B18:I18"/>
    <mergeCell ref="B20:B21"/>
    <mergeCell ref="B14:I14"/>
    <mergeCell ref="I42:I47"/>
    <mergeCell ref="I49:I54"/>
    <mergeCell ref="I76:I82"/>
    <mergeCell ref="H25:H29"/>
    <mergeCell ref="I25:I29"/>
    <mergeCell ref="H31:H33"/>
    <mergeCell ref="I31:I33"/>
  </mergeCells>
  <hyperlinks>
    <hyperlink ref="I109" r:id="rId1" display="https://vanban.chinhphu.vn/?pageid=27160&amp;docid=203945"/>
  </hyperlinks>
  <printOptions horizontalCentered="1"/>
  <pageMargins left="0.5118110236220472" right="0.5118110236220472" top="0.5511811023622047" bottom="0.5511811023622047" header="0.31496062992125984" footer="0.31496062992125984"/>
  <pageSetup orientation="landscape" paperSize="9" r:id="rId2"/>
  <headerFooter>
    <oddFooter>&amp;CPage &amp;P</oddFooter>
  </headerFooter>
</worksheet>
</file>

<file path=xl/worksheets/sheet2.xml><?xml version="1.0" encoding="utf-8"?>
<worksheet xmlns="http://schemas.openxmlformats.org/spreadsheetml/2006/main" xmlns:r="http://schemas.openxmlformats.org/officeDocument/2006/relationships">
  <dimension ref="A1:K101"/>
  <sheetViews>
    <sheetView zoomScalePageLayoutView="0" workbookViewId="0" topLeftCell="A1">
      <selection activeCell="B12" sqref="B12:I12"/>
    </sheetView>
  </sheetViews>
  <sheetFormatPr defaultColWidth="9.00390625" defaultRowHeight="15.75"/>
  <cols>
    <col min="1" max="1" width="6.50390625" style="57" bestFit="1" customWidth="1"/>
    <col min="2" max="2" width="6.50390625" style="57" customWidth="1"/>
    <col min="3" max="3" width="32.25390625" style="57" customWidth="1"/>
    <col min="4" max="4" width="6.00390625" style="57" bestFit="1" customWidth="1"/>
    <col min="5" max="5" width="8.125" style="57" bestFit="1" customWidth="1"/>
    <col min="6" max="6" width="8.375" style="57" bestFit="1" customWidth="1"/>
    <col min="7" max="7" width="13.375" style="57" bestFit="1" customWidth="1"/>
    <col min="8" max="8" width="36.125" style="57" customWidth="1"/>
    <col min="9" max="9" width="31.375" style="57" customWidth="1"/>
    <col min="10" max="16384" width="9.00390625" style="57" customWidth="1"/>
  </cols>
  <sheetData>
    <row r="1" spans="1:9" ht="16.5">
      <c r="A1" s="125" t="s">
        <v>185</v>
      </c>
      <c r="B1" s="125"/>
      <c r="C1" s="125"/>
      <c r="D1" s="125"/>
      <c r="E1" s="125"/>
      <c r="F1" s="125"/>
      <c r="G1" s="125"/>
      <c r="H1" s="125"/>
      <c r="I1" s="125"/>
    </row>
    <row r="2" spans="1:9" ht="16.5">
      <c r="A2" s="125" t="s">
        <v>187</v>
      </c>
      <c r="B2" s="125"/>
      <c r="C2" s="125"/>
      <c r="D2" s="125"/>
      <c r="E2" s="125"/>
      <c r="F2" s="125"/>
      <c r="G2" s="125"/>
      <c r="H2" s="125"/>
      <c r="I2" s="125"/>
    </row>
    <row r="3" spans="1:9" ht="17.25">
      <c r="A3" s="122" t="s">
        <v>228</v>
      </c>
      <c r="B3" s="122"/>
      <c r="C3" s="122"/>
      <c r="D3" s="122"/>
      <c r="E3" s="122"/>
      <c r="F3" s="122"/>
      <c r="G3" s="122"/>
      <c r="H3" s="122"/>
      <c r="I3" s="122"/>
    </row>
    <row r="5" spans="1:9" s="58" customFormat="1" ht="16.5">
      <c r="A5" s="58">
        <v>1</v>
      </c>
      <c r="B5" s="58" t="s">
        <v>0</v>
      </c>
      <c r="D5" s="4"/>
      <c r="E5" s="5"/>
      <c r="F5" s="6"/>
      <c r="G5" s="6"/>
      <c r="H5" s="6"/>
      <c r="I5" s="7"/>
    </row>
    <row r="6" spans="2:9" s="58" customFormat="1" ht="16.5">
      <c r="B6" s="116" t="s">
        <v>135</v>
      </c>
      <c r="C6" s="116"/>
      <c r="D6" s="116"/>
      <c r="E6" s="116"/>
      <c r="F6" s="116"/>
      <c r="G6" s="116"/>
      <c r="H6" s="116"/>
      <c r="I6" s="116"/>
    </row>
    <row r="7" spans="1:9" ht="16.5">
      <c r="A7" s="9"/>
      <c r="B7" s="116" t="s">
        <v>80</v>
      </c>
      <c r="C7" s="116"/>
      <c r="D7" s="116"/>
      <c r="E7" s="116"/>
      <c r="F7" s="116"/>
      <c r="G7" s="116"/>
      <c r="H7" s="116"/>
      <c r="I7" s="116"/>
    </row>
    <row r="8" spans="1:9" ht="37.5" customHeight="1">
      <c r="A8" s="9"/>
      <c r="B8" s="117" t="s">
        <v>209</v>
      </c>
      <c r="C8" s="117"/>
      <c r="D8" s="117"/>
      <c r="E8" s="117"/>
      <c r="F8" s="117"/>
      <c r="G8" s="117"/>
      <c r="H8" s="117"/>
      <c r="I8" s="117"/>
    </row>
    <row r="9" spans="1:9" ht="35.25" customHeight="1">
      <c r="A9" s="9"/>
      <c r="B9" s="117" t="s">
        <v>81</v>
      </c>
      <c r="C9" s="117"/>
      <c r="D9" s="117"/>
      <c r="E9" s="117"/>
      <c r="F9" s="117"/>
      <c r="G9" s="117"/>
      <c r="H9" s="117"/>
      <c r="I9" s="117"/>
    </row>
    <row r="10" spans="1:9" ht="41.25" customHeight="1">
      <c r="A10" s="9"/>
      <c r="B10" s="117" t="s">
        <v>223</v>
      </c>
      <c r="C10" s="117"/>
      <c r="D10" s="117"/>
      <c r="E10" s="117"/>
      <c r="F10" s="117"/>
      <c r="G10" s="117"/>
      <c r="H10" s="117"/>
      <c r="I10" s="117"/>
    </row>
    <row r="11" spans="1:9" ht="41.25" customHeight="1">
      <c r="A11" s="9"/>
      <c r="B11" s="117" t="s">
        <v>82</v>
      </c>
      <c r="C11" s="117"/>
      <c r="D11" s="117"/>
      <c r="E11" s="117"/>
      <c r="F11" s="117"/>
      <c r="G11" s="117"/>
      <c r="H11" s="117"/>
      <c r="I11" s="117"/>
    </row>
    <row r="12" spans="1:9" ht="41.25" customHeight="1">
      <c r="A12" s="9"/>
      <c r="B12" s="116" t="s">
        <v>192</v>
      </c>
      <c r="C12" s="117"/>
      <c r="D12" s="117"/>
      <c r="E12" s="117"/>
      <c r="F12" s="117"/>
      <c r="G12" s="117"/>
      <c r="H12" s="117"/>
      <c r="I12" s="117"/>
    </row>
    <row r="13" spans="1:11" ht="16.5">
      <c r="A13" s="9"/>
      <c r="B13" s="116" t="s">
        <v>193</v>
      </c>
      <c r="C13" s="117"/>
      <c r="D13" s="117"/>
      <c r="E13" s="117"/>
      <c r="F13" s="117"/>
      <c r="G13" s="117"/>
      <c r="H13" s="117"/>
      <c r="I13" s="117"/>
      <c r="J13" s="117"/>
      <c r="K13" s="117"/>
    </row>
    <row r="14" spans="1:9" ht="36" customHeight="1">
      <c r="A14" s="9"/>
      <c r="B14" s="117" t="s">
        <v>196</v>
      </c>
      <c r="C14" s="117"/>
      <c r="D14" s="117"/>
      <c r="E14" s="117"/>
      <c r="F14" s="117"/>
      <c r="G14" s="117"/>
      <c r="H14" s="117"/>
      <c r="I14" s="117"/>
    </row>
    <row r="15" spans="1:9" ht="19.5" customHeight="1">
      <c r="A15" s="9"/>
      <c r="B15" s="117" t="s">
        <v>226</v>
      </c>
      <c r="C15" s="117"/>
      <c r="D15" s="117"/>
      <c r="E15" s="117"/>
      <c r="F15" s="117"/>
      <c r="G15" s="117"/>
      <c r="H15" s="117"/>
      <c r="I15" s="117"/>
    </row>
    <row r="16" spans="1:9" s="58" customFormat="1" ht="16.5">
      <c r="A16" s="58">
        <v>2</v>
      </c>
      <c r="B16" s="58" t="s">
        <v>84</v>
      </c>
      <c r="D16" s="11"/>
      <c r="E16" s="12"/>
      <c r="F16" s="13"/>
      <c r="G16" s="13"/>
      <c r="H16" s="13"/>
      <c r="I16" s="7"/>
    </row>
    <row r="17" spans="1:9" ht="16.5">
      <c r="A17" s="9"/>
      <c r="B17" s="9"/>
      <c r="C17" s="59"/>
      <c r="D17" s="59"/>
      <c r="E17" s="60"/>
      <c r="F17" s="61"/>
      <c r="G17" s="61"/>
      <c r="H17" s="61"/>
      <c r="I17" s="10"/>
    </row>
    <row r="18" spans="1:9" ht="16.5">
      <c r="A18" s="118" t="s">
        <v>1</v>
      </c>
      <c r="B18" s="118" t="s">
        <v>191</v>
      </c>
      <c r="C18" s="118" t="s">
        <v>2</v>
      </c>
      <c r="D18" s="118" t="s">
        <v>3</v>
      </c>
      <c r="E18" s="118"/>
      <c r="F18" s="118"/>
      <c r="G18" s="118"/>
      <c r="H18" s="120" t="s">
        <v>93</v>
      </c>
      <c r="I18" s="120" t="s">
        <v>4</v>
      </c>
    </row>
    <row r="19" spans="1:9" ht="49.5">
      <c r="A19" s="118"/>
      <c r="B19" s="118"/>
      <c r="C19" s="118"/>
      <c r="D19" s="14" t="s">
        <v>5</v>
      </c>
      <c r="E19" s="16" t="s">
        <v>6</v>
      </c>
      <c r="F19" s="17" t="s">
        <v>7</v>
      </c>
      <c r="G19" s="17" t="s">
        <v>8</v>
      </c>
      <c r="H19" s="120"/>
      <c r="I19" s="120"/>
    </row>
    <row r="20" spans="1:9" ht="16.5">
      <c r="A20" s="14" t="s">
        <v>9</v>
      </c>
      <c r="B20" s="14"/>
      <c r="C20" s="18" t="s">
        <v>10</v>
      </c>
      <c r="D20" s="14"/>
      <c r="E20" s="16"/>
      <c r="F20" s="17"/>
      <c r="G20" s="19">
        <f>G21+G55</f>
        <v>318419424.34512</v>
      </c>
      <c r="H20" s="15"/>
      <c r="I20" s="15"/>
    </row>
    <row r="21" spans="1:9" ht="16.5">
      <c r="A21" s="14" t="s">
        <v>11</v>
      </c>
      <c r="B21" s="14"/>
      <c r="C21" s="18" t="s">
        <v>12</v>
      </c>
      <c r="D21" s="14"/>
      <c r="E21" s="16"/>
      <c r="F21" s="17"/>
      <c r="G21" s="19">
        <f>G22+G30</f>
        <v>303256594.6144</v>
      </c>
      <c r="H21" s="15"/>
      <c r="I21" s="15"/>
    </row>
    <row r="22" spans="1:9" s="58" customFormat="1" ht="16.5">
      <c r="A22" s="62">
        <v>1</v>
      </c>
      <c r="B22" s="62"/>
      <c r="C22" s="63" t="s">
        <v>95</v>
      </c>
      <c r="D22" s="63"/>
      <c r="E22" s="64"/>
      <c r="F22" s="63"/>
      <c r="G22" s="64">
        <f>G23+G28+G29</f>
        <v>202125000</v>
      </c>
      <c r="H22" s="63"/>
      <c r="I22" s="63"/>
    </row>
    <row r="23" spans="1:9" ht="16.5">
      <c r="A23" s="65" t="s">
        <v>14</v>
      </c>
      <c r="B23" s="65"/>
      <c r="C23" s="66" t="s">
        <v>15</v>
      </c>
      <c r="D23" s="66"/>
      <c r="E23" s="66"/>
      <c r="F23" s="66"/>
      <c r="G23" s="67">
        <f>SUM(G24:G27)</f>
        <v>148500000</v>
      </c>
      <c r="H23" s="66"/>
      <c r="I23" s="66"/>
    </row>
    <row r="24" spans="1:9" ht="16.5">
      <c r="A24" s="65" t="s">
        <v>197</v>
      </c>
      <c r="B24" s="65"/>
      <c r="C24" s="66" t="s">
        <v>96</v>
      </c>
      <c r="D24" s="65" t="s">
        <v>97</v>
      </c>
      <c r="E24" s="67">
        <v>4400</v>
      </c>
      <c r="F24" s="67">
        <v>25000</v>
      </c>
      <c r="G24" s="67">
        <f>ROUND(F24*E24,0)</f>
        <v>110000000</v>
      </c>
      <c r="H24" s="123" t="s">
        <v>103</v>
      </c>
      <c r="I24" s="129" t="s">
        <v>224</v>
      </c>
    </row>
    <row r="25" spans="1:9" ht="16.5">
      <c r="A25" s="65" t="s">
        <v>198</v>
      </c>
      <c r="B25" s="65"/>
      <c r="C25" s="66" t="s">
        <v>98</v>
      </c>
      <c r="D25" s="65" t="s">
        <v>97</v>
      </c>
      <c r="E25" s="67">
        <f>E24*15%</f>
        <v>660</v>
      </c>
      <c r="F25" s="67">
        <v>25000</v>
      </c>
      <c r="G25" s="67">
        <f>F25*E25</f>
        <v>16500000</v>
      </c>
      <c r="H25" s="123"/>
      <c r="I25" s="123"/>
    </row>
    <row r="26" spans="1:9" ht="16.5">
      <c r="A26" s="65" t="s">
        <v>199</v>
      </c>
      <c r="B26" s="65"/>
      <c r="C26" s="66" t="s">
        <v>99</v>
      </c>
      <c r="D26" s="65" t="s">
        <v>97</v>
      </c>
      <c r="E26" s="67">
        <f>E24*10%</f>
        <v>440</v>
      </c>
      <c r="F26" s="67">
        <v>25000</v>
      </c>
      <c r="G26" s="67">
        <f>F26*E26</f>
        <v>11000000</v>
      </c>
      <c r="H26" s="123"/>
      <c r="I26" s="123"/>
    </row>
    <row r="27" spans="1:9" ht="36.75" customHeight="1">
      <c r="A27" s="65" t="s">
        <v>200</v>
      </c>
      <c r="B27" s="65"/>
      <c r="C27" s="66" t="s">
        <v>100</v>
      </c>
      <c r="D27" s="65" t="s">
        <v>97</v>
      </c>
      <c r="E27" s="67">
        <f>E24*10%</f>
        <v>440</v>
      </c>
      <c r="F27" s="67">
        <v>25000</v>
      </c>
      <c r="G27" s="67">
        <f>F27*E27</f>
        <v>11000000</v>
      </c>
      <c r="H27" s="123"/>
      <c r="I27" s="123"/>
    </row>
    <row r="28" spans="1:9" ht="16.5">
      <c r="A28" s="65" t="s">
        <v>18</v>
      </c>
      <c r="B28" s="65"/>
      <c r="C28" s="66" t="s">
        <v>101</v>
      </c>
      <c r="D28" s="65" t="s">
        <v>102</v>
      </c>
      <c r="E28" s="67">
        <v>4400</v>
      </c>
      <c r="F28" s="67">
        <v>10000</v>
      </c>
      <c r="G28" s="67">
        <f>F28*E28</f>
        <v>44000000</v>
      </c>
      <c r="H28" s="66" t="s">
        <v>104</v>
      </c>
      <c r="I28" s="92" t="s">
        <v>225</v>
      </c>
    </row>
    <row r="29" spans="1:9" ht="16.5">
      <c r="A29" s="68" t="s">
        <v>25</v>
      </c>
      <c r="B29" s="68"/>
      <c r="C29" s="69" t="s">
        <v>33</v>
      </c>
      <c r="D29" s="68" t="s">
        <v>34</v>
      </c>
      <c r="E29" s="70">
        <v>5</v>
      </c>
      <c r="F29" s="66"/>
      <c r="G29" s="70">
        <f>(G23+G28)*5%</f>
        <v>9625000</v>
      </c>
      <c r="H29" s="66"/>
      <c r="I29" s="66" t="s">
        <v>227</v>
      </c>
    </row>
    <row r="30" spans="1:9" s="58" customFormat="1" ht="16.5">
      <c r="A30" s="71">
        <v>2</v>
      </c>
      <c r="B30" s="71"/>
      <c r="C30" s="72" t="s">
        <v>179</v>
      </c>
      <c r="D30" s="62"/>
      <c r="E30" s="73">
        <f>E31+E41+E45+E52+E49</f>
        <v>247.5912</v>
      </c>
      <c r="F30" s="63"/>
      <c r="G30" s="64">
        <f>G31+G41+G45+G49+G52</f>
        <v>101131594.61440001</v>
      </c>
      <c r="H30" s="63"/>
      <c r="I30" s="63"/>
    </row>
    <row r="31" spans="1:9" s="98" customFormat="1" ht="17.25">
      <c r="A31" s="93" t="s">
        <v>28</v>
      </c>
      <c r="B31" s="93"/>
      <c r="C31" s="94" t="s">
        <v>20</v>
      </c>
      <c r="D31" s="93"/>
      <c r="E31" s="95">
        <f>E32+E37</f>
        <v>170.14</v>
      </c>
      <c r="F31" s="96"/>
      <c r="G31" s="97">
        <f>G32+G37</f>
        <v>69495724</v>
      </c>
      <c r="H31" s="96"/>
      <c r="I31" s="96"/>
    </row>
    <row r="32" spans="1:9" ht="16.5">
      <c r="A32" s="65" t="s">
        <v>129</v>
      </c>
      <c r="B32" s="65"/>
      <c r="C32" s="69" t="s">
        <v>38</v>
      </c>
      <c r="D32" s="65"/>
      <c r="E32" s="74">
        <f>SUM(E33:E36)</f>
        <v>135.14999999999998</v>
      </c>
      <c r="F32" s="66"/>
      <c r="G32" s="67">
        <f>SUM(G33:G36)</f>
        <v>55203639</v>
      </c>
      <c r="H32" s="66"/>
      <c r="I32" s="66"/>
    </row>
    <row r="33" spans="1:9" ht="33">
      <c r="A33" s="27" t="s">
        <v>197</v>
      </c>
      <c r="B33" s="27" t="s">
        <v>108</v>
      </c>
      <c r="C33" s="75" t="s">
        <v>94</v>
      </c>
      <c r="D33" s="27" t="s">
        <v>35</v>
      </c>
      <c r="E33" s="76">
        <f>ROUND((2/1000)*10000,2)</f>
        <v>20</v>
      </c>
      <c r="F33" s="24">
        <v>408462</v>
      </c>
      <c r="G33" s="24">
        <f>ROUND(F33*E33,0)</f>
        <v>8169240</v>
      </c>
      <c r="H33" s="77" t="s">
        <v>105</v>
      </c>
      <c r="I33" s="126" t="s">
        <v>204</v>
      </c>
    </row>
    <row r="34" spans="1:9" ht="49.5">
      <c r="A34" s="27" t="s">
        <v>198</v>
      </c>
      <c r="B34" s="27" t="s">
        <v>109</v>
      </c>
      <c r="C34" s="75" t="s">
        <v>106</v>
      </c>
      <c r="D34" s="27" t="s">
        <v>35</v>
      </c>
      <c r="E34" s="76">
        <f>ROUND((4.17/1000)*4400,2)</f>
        <v>18.35</v>
      </c>
      <c r="F34" s="24">
        <v>408462</v>
      </c>
      <c r="G34" s="24">
        <f aca="true" t="shared" si="0" ref="G34:G40">ROUND(F34*E34,0)</f>
        <v>7495278</v>
      </c>
      <c r="H34" s="77" t="s">
        <v>107</v>
      </c>
      <c r="I34" s="127"/>
    </row>
    <row r="35" spans="1:9" ht="49.5">
      <c r="A35" s="27" t="s">
        <v>199</v>
      </c>
      <c r="B35" s="27" t="s">
        <v>110</v>
      </c>
      <c r="C35" s="75" t="s">
        <v>111</v>
      </c>
      <c r="D35" s="27" t="s">
        <v>35</v>
      </c>
      <c r="E35" s="76">
        <f>ROUND((16.5/1000)*4400,2)</f>
        <v>72.6</v>
      </c>
      <c r="F35" s="24">
        <v>408462</v>
      </c>
      <c r="G35" s="24">
        <f t="shared" si="0"/>
        <v>29654341</v>
      </c>
      <c r="H35" s="77" t="s">
        <v>112</v>
      </c>
      <c r="I35" s="127"/>
    </row>
    <row r="36" spans="1:9" ht="66">
      <c r="A36" s="27" t="s">
        <v>200</v>
      </c>
      <c r="B36" s="27" t="s">
        <v>114</v>
      </c>
      <c r="C36" s="75" t="s">
        <v>113</v>
      </c>
      <c r="D36" s="27" t="s">
        <v>35</v>
      </c>
      <c r="E36" s="76">
        <f>ROUND((5.5/1000)*4400,2)</f>
        <v>24.2</v>
      </c>
      <c r="F36" s="24">
        <v>408462</v>
      </c>
      <c r="G36" s="24">
        <f t="shared" si="0"/>
        <v>9884780</v>
      </c>
      <c r="H36" s="77" t="s">
        <v>115</v>
      </c>
      <c r="I36" s="128"/>
    </row>
    <row r="37" spans="1:9" ht="16.5">
      <c r="A37" s="27" t="s">
        <v>130</v>
      </c>
      <c r="C37" s="75" t="s">
        <v>116</v>
      </c>
      <c r="D37" s="27"/>
      <c r="E37" s="76">
        <f>SUM(E38:E40)</f>
        <v>34.99</v>
      </c>
      <c r="F37" s="24"/>
      <c r="G37" s="24">
        <f>SUM(G38:G40)</f>
        <v>14292085</v>
      </c>
      <c r="H37" s="77"/>
      <c r="I37" s="66"/>
    </row>
    <row r="38" spans="1:9" ht="49.5">
      <c r="A38" s="27" t="s">
        <v>197</v>
      </c>
      <c r="B38" s="27" t="s">
        <v>117</v>
      </c>
      <c r="C38" s="75" t="s">
        <v>128</v>
      </c>
      <c r="D38" s="27" t="s">
        <v>35</v>
      </c>
      <c r="E38" s="76">
        <f>ROUND((3.3/1000)*4400,2)</f>
        <v>14.52</v>
      </c>
      <c r="F38" s="24">
        <v>408462</v>
      </c>
      <c r="G38" s="24">
        <f t="shared" si="0"/>
        <v>5930868</v>
      </c>
      <c r="H38" s="77" t="s">
        <v>133</v>
      </c>
      <c r="I38" s="126" t="s">
        <v>204</v>
      </c>
    </row>
    <row r="39" spans="1:9" ht="49.5">
      <c r="A39" s="27" t="s">
        <v>198</v>
      </c>
      <c r="B39" s="27" t="s">
        <v>118</v>
      </c>
      <c r="C39" s="75" t="s">
        <v>50</v>
      </c>
      <c r="D39" s="27" t="s">
        <v>35</v>
      </c>
      <c r="E39" s="76">
        <f>ROUND((19.98/1000)*E25,2)</f>
        <v>13.19</v>
      </c>
      <c r="F39" s="24">
        <v>408462</v>
      </c>
      <c r="G39" s="24">
        <f t="shared" si="0"/>
        <v>5387614</v>
      </c>
      <c r="H39" s="77" t="s">
        <v>119</v>
      </c>
      <c r="I39" s="127"/>
    </row>
    <row r="40" spans="1:9" ht="82.5">
      <c r="A40" s="27" t="s">
        <v>199</v>
      </c>
      <c r="B40" s="27" t="s">
        <v>123</v>
      </c>
      <c r="C40" s="75" t="s">
        <v>60</v>
      </c>
      <c r="D40" s="27" t="s">
        <v>35</v>
      </c>
      <c r="E40" s="76">
        <v>7.28</v>
      </c>
      <c r="F40" s="24">
        <v>408462</v>
      </c>
      <c r="G40" s="24">
        <f t="shared" si="0"/>
        <v>2973603</v>
      </c>
      <c r="H40" s="27" t="s">
        <v>124</v>
      </c>
      <c r="I40" s="128"/>
    </row>
    <row r="41" spans="1:9" s="98" customFormat="1" ht="17.25">
      <c r="A41" s="34" t="s">
        <v>31</v>
      </c>
      <c r="B41" s="34"/>
      <c r="C41" s="99" t="s">
        <v>23</v>
      </c>
      <c r="D41" s="34"/>
      <c r="E41" s="100">
        <f>SUM(E42:E44)</f>
        <v>28.17</v>
      </c>
      <c r="F41" s="44"/>
      <c r="G41" s="46">
        <f>SUM(G42:G44)</f>
        <v>11506374.18</v>
      </c>
      <c r="H41" s="101"/>
      <c r="I41" s="96"/>
    </row>
    <row r="42" spans="1:9" ht="49.5">
      <c r="A42" s="27" t="s">
        <v>197</v>
      </c>
      <c r="B42" s="27" t="s">
        <v>120</v>
      </c>
      <c r="C42" s="75" t="s">
        <v>127</v>
      </c>
      <c r="D42" s="27" t="s">
        <v>35</v>
      </c>
      <c r="E42" s="76">
        <f>ROUND((2.75/1000)*4400,2)</f>
        <v>12.1</v>
      </c>
      <c r="F42" s="24">
        <v>408462</v>
      </c>
      <c r="G42" s="24">
        <f>F42*E42</f>
        <v>4942390.2</v>
      </c>
      <c r="H42" s="77" t="s">
        <v>133</v>
      </c>
      <c r="I42" s="126" t="s">
        <v>204</v>
      </c>
    </row>
    <row r="43" spans="1:9" ht="49.5">
      <c r="A43" s="27" t="s">
        <v>198</v>
      </c>
      <c r="B43" s="27" t="s">
        <v>118</v>
      </c>
      <c r="C43" s="75" t="s">
        <v>50</v>
      </c>
      <c r="D43" s="27" t="s">
        <v>35</v>
      </c>
      <c r="E43" s="76">
        <f>ROUND((19.98/1000)*E26,2)</f>
        <v>8.79</v>
      </c>
      <c r="F43" s="24">
        <v>408462</v>
      </c>
      <c r="G43" s="24">
        <f>F43*E43</f>
        <v>3590380.9799999995</v>
      </c>
      <c r="H43" s="77" t="s">
        <v>119</v>
      </c>
      <c r="I43" s="127"/>
    </row>
    <row r="44" spans="1:9" ht="82.5">
      <c r="A44" s="27" t="s">
        <v>199</v>
      </c>
      <c r="B44" s="27" t="s">
        <v>123</v>
      </c>
      <c r="C44" s="75" t="s">
        <v>60</v>
      </c>
      <c r="D44" s="27" t="s">
        <v>35</v>
      </c>
      <c r="E44" s="76">
        <v>7.28</v>
      </c>
      <c r="F44" s="24">
        <v>408462</v>
      </c>
      <c r="G44" s="24">
        <f>ROUND(F44*E44,0)</f>
        <v>2973603</v>
      </c>
      <c r="H44" s="27" t="s">
        <v>124</v>
      </c>
      <c r="I44" s="128"/>
    </row>
    <row r="45" spans="1:9" s="98" customFormat="1" ht="17.25">
      <c r="A45" s="93" t="s">
        <v>161</v>
      </c>
      <c r="B45" s="93"/>
      <c r="C45" s="99" t="s">
        <v>24</v>
      </c>
      <c r="D45" s="93"/>
      <c r="E45" s="95">
        <f>SUM(E46:E48)</f>
        <v>20.2012</v>
      </c>
      <c r="F45" s="44"/>
      <c r="G45" s="97">
        <f>SUM(G46:G48)</f>
        <v>8251422.194399999</v>
      </c>
      <c r="H45" s="96"/>
      <c r="I45" s="96"/>
    </row>
    <row r="46" spans="1:9" ht="49.5">
      <c r="A46" s="27" t="s">
        <v>197</v>
      </c>
      <c r="B46" s="27" t="s">
        <v>121</v>
      </c>
      <c r="C46" s="75" t="s">
        <v>126</v>
      </c>
      <c r="D46" s="27" t="s">
        <v>35</v>
      </c>
      <c r="E46" s="76">
        <f>ROUND((1.65/1000)*2500,2)</f>
        <v>4.13</v>
      </c>
      <c r="F46" s="24">
        <v>408462</v>
      </c>
      <c r="G46" s="24">
        <f>F46*E46</f>
        <v>1686948.06</v>
      </c>
      <c r="H46" s="77" t="s">
        <v>133</v>
      </c>
      <c r="I46" s="126" t="s">
        <v>204</v>
      </c>
    </row>
    <row r="47" spans="1:9" ht="49.5">
      <c r="A47" s="27" t="s">
        <v>198</v>
      </c>
      <c r="B47" s="27" t="s">
        <v>118</v>
      </c>
      <c r="C47" s="75" t="s">
        <v>50</v>
      </c>
      <c r="D47" s="27" t="s">
        <v>35</v>
      </c>
      <c r="E47" s="24">
        <f>(19.98/1000)*E27</f>
        <v>8.7912</v>
      </c>
      <c r="F47" s="24">
        <v>408462</v>
      </c>
      <c r="G47" s="24">
        <f>F47*E47</f>
        <v>3590871.1344</v>
      </c>
      <c r="H47" s="77" t="s">
        <v>119</v>
      </c>
      <c r="I47" s="127"/>
    </row>
    <row r="48" spans="1:9" ht="82.5">
      <c r="A48" s="27" t="s">
        <v>199</v>
      </c>
      <c r="B48" s="27" t="s">
        <v>123</v>
      </c>
      <c r="C48" s="75" t="s">
        <v>60</v>
      </c>
      <c r="D48" s="27" t="s">
        <v>35</v>
      </c>
      <c r="E48" s="76">
        <v>7.28</v>
      </c>
      <c r="F48" s="24">
        <v>408462</v>
      </c>
      <c r="G48" s="24">
        <f>ROUND(F48*E48,0)</f>
        <v>2973603</v>
      </c>
      <c r="H48" s="27" t="s">
        <v>124</v>
      </c>
      <c r="I48" s="128"/>
    </row>
    <row r="49" spans="1:9" s="98" customFormat="1" ht="17.25">
      <c r="A49" s="34" t="s">
        <v>32</v>
      </c>
      <c r="B49" s="34"/>
      <c r="C49" s="99" t="s">
        <v>65</v>
      </c>
      <c r="D49" s="34"/>
      <c r="E49" s="100">
        <f>SUM(E50:E51)</f>
        <v>14.54</v>
      </c>
      <c r="F49" s="44"/>
      <c r="G49" s="46">
        <f>SUM(G50:G51)</f>
        <v>5939037.12</v>
      </c>
      <c r="H49" s="101"/>
      <c r="I49" s="96"/>
    </row>
    <row r="50" spans="1:9" ht="49.5">
      <c r="A50" s="27" t="s">
        <v>197</v>
      </c>
      <c r="B50" s="27" t="s">
        <v>121</v>
      </c>
      <c r="C50" s="75" t="s">
        <v>122</v>
      </c>
      <c r="D50" s="27" t="s">
        <v>35</v>
      </c>
      <c r="E50" s="76">
        <f>ROUND((1.65/1000)*4400,2)</f>
        <v>7.26</v>
      </c>
      <c r="F50" s="24">
        <v>408462</v>
      </c>
      <c r="G50" s="24">
        <f>F50*E50</f>
        <v>2965434.12</v>
      </c>
      <c r="H50" s="77" t="s">
        <v>133</v>
      </c>
      <c r="I50" s="126" t="s">
        <v>204</v>
      </c>
    </row>
    <row r="51" spans="1:9" ht="82.5">
      <c r="A51" s="27" t="s">
        <v>198</v>
      </c>
      <c r="B51" s="27" t="s">
        <v>123</v>
      </c>
      <c r="C51" s="75" t="s">
        <v>60</v>
      </c>
      <c r="D51" s="27" t="s">
        <v>35</v>
      </c>
      <c r="E51" s="76">
        <v>7.28</v>
      </c>
      <c r="F51" s="24">
        <v>408462</v>
      </c>
      <c r="G51" s="24">
        <f>ROUND(F51*E51,0)</f>
        <v>2973603</v>
      </c>
      <c r="H51" s="27" t="s">
        <v>124</v>
      </c>
      <c r="I51" s="128"/>
    </row>
    <row r="52" spans="1:9" s="98" customFormat="1" ht="17.25">
      <c r="A52" s="93" t="s">
        <v>162</v>
      </c>
      <c r="B52" s="93"/>
      <c r="C52" s="99" t="s">
        <v>70</v>
      </c>
      <c r="D52" s="93"/>
      <c r="E52" s="95">
        <f>SUM(E53:E54)</f>
        <v>14.54</v>
      </c>
      <c r="F52" s="44"/>
      <c r="G52" s="97">
        <f>SUM(G53:G54)</f>
        <v>5939037.12</v>
      </c>
      <c r="H52" s="96"/>
      <c r="I52" s="96"/>
    </row>
    <row r="53" spans="1:9" ht="49.5">
      <c r="A53" s="27" t="s">
        <v>197</v>
      </c>
      <c r="B53" s="27" t="s">
        <v>121</v>
      </c>
      <c r="C53" s="75" t="s">
        <v>125</v>
      </c>
      <c r="D53" s="27" t="s">
        <v>35</v>
      </c>
      <c r="E53" s="76">
        <f>ROUND((1.65/1000)*4400,2)</f>
        <v>7.26</v>
      </c>
      <c r="F53" s="24">
        <v>408462</v>
      </c>
      <c r="G53" s="24">
        <f>F53*E53</f>
        <v>2965434.12</v>
      </c>
      <c r="H53" s="77" t="s">
        <v>133</v>
      </c>
      <c r="I53" s="126" t="s">
        <v>204</v>
      </c>
    </row>
    <row r="54" spans="1:9" ht="82.5">
      <c r="A54" s="27" t="s">
        <v>198</v>
      </c>
      <c r="B54" s="27" t="s">
        <v>123</v>
      </c>
      <c r="C54" s="75" t="s">
        <v>60</v>
      </c>
      <c r="D54" s="27" t="s">
        <v>35</v>
      </c>
      <c r="E54" s="76">
        <v>7.28</v>
      </c>
      <c r="F54" s="24">
        <v>408462</v>
      </c>
      <c r="G54" s="24">
        <f>ROUND(F54*E54,0)</f>
        <v>2973603</v>
      </c>
      <c r="H54" s="27" t="s">
        <v>124</v>
      </c>
      <c r="I54" s="128"/>
    </row>
    <row r="55" spans="1:9" s="58" customFormat="1" ht="33">
      <c r="A55" s="79" t="s">
        <v>74</v>
      </c>
      <c r="B55" s="79"/>
      <c r="C55" s="18" t="s">
        <v>180</v>
      </c>
      <c r="D55" s="17"/>
      <c r="E55" s="78"/>
      <c r="F55" s="19"/>
      <c r="G55" s="19">
        <f>G21*5%</f>
        <v>15162829.730720002</v>
      </c>
      <c r="H55" s="17" t="s">
        <v>181</v>
      </c>
      <c r="I55" s="80" t="s">
        <v>210</v>
      </c>
    </row>
    <row r="56" spans="1:9" s="58" customFormat="1" ht="16.5">
      <c r="A56" s="14" t="s">
        <v>75</v>
      </c>
      <c r="B56" s="14"/>
      <c r="C56" s="18" t="s">
        <v>159</v>
      </c>
      <c r="D56" s="14"/>
      <c r="E56" s="47"/>
      <c r="F56" s="24"/>
      <c r="G56" s="64">
        <f>G57+G59+G61+G63+G65</f>
        <v>3836144</v>
      </c>
      <c r="H56" s="63"/>
      <c r="I56" s="63"/>
    </row>
    <row r="57" spans="1:9" s="58" customFormat="1" ht="16.5">
      <c r="A57" s="14">
        <v>1</v>
      </c>
      <c r="B57" s="14"/>
      <c r="C57" s="18" t="s">
        <v>20</v>
      </c>
      <c r="D57" s="14"/>
      <c r="E57" s="47">
        <f>E58</f>
        <v>5.1042</v>
      </c>
      <c r="F57" s="47"/>
      <c r="G57" s="81">
        <f>SUM(G58)</f>
        <v>2636125</v>
      </c>
      <c r="H57" s="123" t="s">
        <v>212</v>
      </c>
      <c r="I57" s="123" t="s">
        <v>183</v>
      </c>
    </row>
    <row r="58" spans="1:9" ht="16.5">
      <c r="A58" s="22" t="s">
        <v>16</v>
      </c>
      <c r="B58" s="22"/>
      <c r="C58" s="23" t="s">
        <v>213</v>
      </c>
      <c r="D58" s="22" t="s">
        <v>35</v>
      </c>
      <c r="E58" s="38">
        <f>E31*3%</f>
        <v>5.1042</v>
      </c>
      <c r="F58" s="24">
        <v>516462</v>
      </c>
      <c r="G58" s="24">
        <f>ROUND(F58*E58,0)</f>
        <v>2636125</v>
      </c>
      <c r="H58" s="123"/>
      <c r="I58" s="123"/>
    </row>
    <row r="59" spans="1:9" s="58" customFormat="1" ht="16.5">
      <c r="A59" s="14">
        <v>2</v>
      </c>
      <c r="B59" s="14"/>
      <c r="C59" s="18" t="s">
        <v>23</v>
      </c>
      <c r="D59" s="14" t="s">
        <v>35</v>
      </c>
      <c r="E59" s="47">
        <f>E60</f>
        <v>0.8451000000000001</v>
      </c>
      <c r="F59" s="24"/>
      <c r="G59" s="64">
        <f>SUM(G60)</f>
        <v>436462</v>
      </c>
      <c r="H59" s="123"/>
      <c r="I59" s="123"/>
    </row>
    <row r="60" spans="1:9" ht="16.5">
      <c r="A60" s="22" t="s">
        <v>16</v>
      </c>
      <c r="B60" s="22"/>
      <c r="C60" s="23" t="s">
        <v>213</v>
      </c>
      <c r="D60" s="22" t="s">
        <v>35</v>
      </c>
      <c r="E60" s="38">
        <f>E41*3%</f>
        <v>0.8451000000000001</v>
      </c>
      <c r="F60" s="24">
        <v>516462</v>
      </c>
      <c r="G60" s="24">
        <f>ROUND(F60*E60,0)</f>
        <v>436462</v>
      </c>
      <c r="H60" s="123"/>
      <c r="I60" s="123"/>
    </row>
    <row r="61" spans="1:9" s="58" customFormat="1" ht="16.5">
      <c r="A61" s="14">
        <v>3</v>
      </c>
      <c r="B61" s="14"/>
      <c r="C61" s="18" t="s">
        <v>24</v>
      </c>
      <c r="D61" s="14" t="s">
        <v>35</v>
      </c>
      <c r="E61" s="47">
        <f>E62</f>
        <v>0.606036</v>
      </c>
      <c r="F61" s="24"/>
      <c r="G61" s="64">
        <f>SUM(G62)</f>
        <v>312995</v>
      </c>
      <c r="H61" s="123"/>
      <c r="I61" s="123"/>
    </row>
    <row r="62" spans="1:9" ht="16.5">
      <c r="A62" s="22" t="s">
        <v>16</v>
      </c>
      <c r="B62" s="22"/>
      <c r="C62" s="23" t="s">
        <v>213</v>
      </c>
      <c r="D62" s="22" t="s">
        <v>35</v>
      </c>
      <c r="E62" s="38">
        <f>E45*3%</f>
        <v>0.606036</v>
      </c>
      <c r="F62" s="24">
        <v>516462</v>
      </c>
      <c r="G62" s="24">
        <f>ROUND(F62*E62,0)</f>
        <v>312995</v>
      </c>
      <c r="H62" s="123"/>
      <c r="I62" s="123"/>
    </row>
    <row r="63" spans="1:9" s="58" customFormat="1" ht="16.5">
      <c r="A63" s="14">
        <v>4</v>
      </c>
      <c r="B63" s="14"/>
      <c r="C63" s="18" t="s">
        <v>65</v>
      </c>
      <c r="D63" s="14" t="s">
        <v>35</v>
      </c>
      <c r="E63" s="47">
        <f>E64</f>
        <v>0.4362</v>
      </c>
      <c r="F63" s="24"/>
      <c r="G63" s="64">
        <f>G64</f>
        <v>225281</v>
      </c>
      <c r="H63" s="123"/>
      <c r="I63" s="123"/>
    </row>
    <row r="64" spans="1:9" ht="16.5">
      <c r="A64" s="22" t="s">
        <v>16</v>
      </c>
      <c r="B64" s="22"/>
      <c r="C64" s="23" t="s">
        <v>213</v>
      </c>
      <c r="D64" s="22" t="s">
        <v>35</v>
      </c>
      <c r="E64" s="38">
        <f>E49*3%</f>
        <v>0.4362</v>
      </c>
      <c r="F64" s="24">
        <v>516462</v>
      </c>
      <c r="G64" s="24">
        <f>ROUND(F64*E64,0)</f>
        <v>225281</v>
      </c>
      <c r="H64" s="123"/>
      <c r="I64" s="123"/>
    </row>
    <row r="65" spans="1:9" s="58" customFormat="1" ht="16.5">
      <c r="A65" s="14">
        <v>5</v>
      </c>
      <c r="B65" s="14"/>
      <c r="C65" s="18" t="s">
        <v>70</v>
      </c>
      <c r="D65" s="14" t="s">
        <v>35</v>
      </c>
      <c r="E65" s="47">
        <f>E66</f>
        <v>0.4362</v>
      </c>
      <c r="F65" s="24"/>
      <c r="G65" s="64">
        <f>G66</f>
        <v>225281</v>
      </c>
      <c r="H65" s="123"/>
      <c r="I65" s="123"/>
    </row>
    <row r="66" spans="1:9" ht="33">
      <c r="A66" s="22" t="s">
        <v>16</v>
      </c>
      <c r="B66" s="22"/>
      <c r="C66" s="23" t="s">
        <v>73</v>
      </c>
      <c r="D66" s="22" t="s">
        <v>35</v>
      </c>
      <c r="E66" s="38">
        <f>E52*3%</f>
        <v>0.4362</v>
      </c>
      <c r="F66" s="24">
        <v>516462</v>
      </c>
      <c r="G66" s="24">
        <f>ROUND(F66*E66,0)</f>
        <v>225281</v>
      </c>
      <c r="H66" s="123"/>
      <c r="I66" s="123"/>
    </row>
    <row r="67" spans="1:9" ht="33">
      <c r="A67" s="14" t="s">
        <v>76</v>
      </c>
      <c r="B67" s="14"/>
      <c r="C67" s="18" t="s">
        <v>188</v>
      </c>
      <c r="D67" s="14"/>
      <c r="E67" s="47">
        <f>E68+E69</f>
        <v>24.361384000000005</v>
      </c>
      <c r="F67" s="24"/>
      <c r="G67" s="82">
        <f>SUM(G68:G69)</f>
        <v>12581729</v>
      </c>
      <c r="H67" s="27"/>
      <c r="I67" s="15"/>
    </row>
    <row r="68" spans="1:9" ht="16.5">
      <c r="A68" s="22">
        <v>1</v>
      </c>
      <c r="B68" s="22"/>
      <c r="C68" s="23" t="s">
        <v>71</v>
      </c>
      <c r="D68" s="22" t="s">
        <v>35</v>
      </c>
      <c r="E68" s="38">
        <v>7.03</v>
      </c>
      <c r="F68" s="24">
        <v>516462</v>
      </c>
      <c r="G68" s="24">
        <f aca="true" t="shared" si="1" ref="G68:G74">ROUND(F68*E68,0)</f>
        <v>3630728</v>
      </c>
      <c r="H68" s="124" t="s">
        <v>218</v>
      </c>
      <c r="I68" s="124" t="s">
        <v>183</v>
      </c>
    </row>
    <row r="69" spans="1:9" ht="16.5">
      <c r="A69" s="22">
        <v>2</v>
      </c>
      <c r="B69" s="22"/>
      <c r="C69" s="23" t="s">
        <v>160</v>
      </c>
      <c r="D69" s="22" t="s">
        <v>35</v>
      </c>
      <c r="E69" s="38">
        <f>SUM(E70:E74)</f>
        <v>17.331384000000003</v>
      </c>
      <c r="F69" s="24"/>
      <c r="G69" s="24">
        <f>SUM(G70:G74)</f>
        <v>8951001</v>
      </c>
      <c r="H69" s="124"/>
      <c r="I69" s="124"/>
    </row>
    <row r="70" spans="1:9" ht="16.5">
      <c r="A70" s="22" t="s">
        <v>28</v>
      </c>
      <c r="B70" s="22"/>
      <c r="C70" s="23" t="s">
        <v>20</v>
      </c>
      <c r="D70" s="22" t="s">
        <v>35</v>
      </c>
      <c r="E70" s="38">
        <f>E31*7%</f>
        <v>11.9098</v>
      </c>
      <c r="F70" s="24">
        <v>516462</v>
      </c>
      <c r="G70" s="24">
        <f t="shared" si="1"/>
        <v>6150959</v>
      </c>
      <c r="H70" s="124"/>
      <c r="I70" s="124"/>
    </row>
    <row r="71" spans="1:9" ht="16.5">
      <c r="A71" s="22" t="s">
        <v>31</v>
      </c>
      <c r="B71" s="22"/>
      <c r="C71" s="23" t="s">
        <v>23</v>
      </c>
      <c r="D71" s="22" t="s">
        <v>35</v>
      </c>
      <c r="E71" s="38">
        <f>E41*7%</f>
        <v>1.9719000000000002</v>
      </c>
      <c r="F71" s="24">
        <v>516462</v>
      </c>
      <c r="G71" s="24">
        <f t="shared" si="1"/>
        <v>1018411</v>
      </c>
      <c r="H71" s="124"/>
      <c r="I71" s="124"/>
    </row>
    <row r="72" spans="1:9" ht="16.5">
      <c r="A72" s="22" t="s">
        <v>161</v>
      </c>
      <c r="B72" s="22"/>
      <c r="C72" s="23" t="s">
        <v>24</v>
      </c>
      <c r="D72" s="22" t="s">
        <v>35</v>
      </c>
      <c r="E72" s="38">
        <f>E45*7%</f>
        <v>1.4140840000000001</v>
      </c>
      <c r="F72" s="24">
        <v>516462</v>
      </c>
      <c r="G72" s="24">
        <f t="shared" si="1"/>
        <v>730321</v>
      </c>
      <c r="H72" s="124"/>
      <c r="I72" s="124"/>
    </row>
    <row r="73" spans="1:9" ht="16.5">
      <c r="A73" s="22" t="s">
        <v>32</v>
      </c>
      <c r="B73" s="22"/>
      <c r="C73" s="23" t="s">
        <v>65</v>
      </c>
      <c r="D73" s="22" t="s">
        <v>35</v>
      </c>
      <c r="E73" s="38">
        <f>E49*7%</f>
        <v>1.0178</v>
      </c>
      <c r="F73" s="24">
        <v>516462</v>
      </c>
      <c r="G73" s="24">
        <f t="shared" si="1"/>
        <v>525655</v>
      </c>
      <c r="H73" s="124"/>
      <c r="I73" s="124"/>
    </row>
    <row r="74" spans="1:9" ht="16.5">
      <c r="A74" s="22" t="s">
        <v>162</v>
      </c>
      <c r="B74" s="22"/>
      <c r="C74" s="23" t="s">
        <v>70</v>
      </c>
      <c r="D74" s="22" t="s">
        <v>35</v>
      </c>
      <c r="E74" s="38">
        <f>E52*7%</f>
        <v>1.0178</v>
      </c>
      <c r="F74" s="24">
        <v>516462</v>
      </c>
      <c r="G74" s="24">
        <f t="shared" si="1"/>
        <v>525655</v>
      </c>
      <c r="H74" s="124"/>
      <c r="I74" s="124"/>
    </row>
    <row r="75" spans="1:9" ht="15.75" customHeight="1">
      <c r="A75" s="14" t="s">
        <v>79</v>
      </c>
      <c r="B75" s="14"/>
      <c r="C75" s="18" t="s">
        <v>77</v>
      </c>
      <c r="D75" s="22" t="s">
        <v>35</v>
      </c>
      <c r="E75" s="47"/>
      <c r="F75" s="24"/>
      <c r="G75" s="82">
        <f>SUM(G76:G79)</f>
        <v>6157120.063304637</v>
      </c>
      <c r="H75" s="17"/>
      <c r="I75" s="15"/>
    </row>
    <row r="76" spans="1:9" ht="33">
      <c r="A76" s="22">
        <v>1</v>
      </c>
      <c r="B76" s="22"/>
      <c r="C76" s="50" t="s">
        <v>163</v>
      </c>
      <c r="D76" s="51"/>
      <c r="E76" s="52"/>
      <c r="F76" s="66"/>
      <c r="G76" s="52">
        <f>G20*0.361%</f>
        <v>1149494.1218858832</v>
      </c>
      <c r="H76" s="66"/>
      <c r="I76" s="28" t="s">
        <v>164</v>
      </c>
    </row>
    <row r="77" spans="1:9" ht="33">
      <c r="A77" s="22">
        <v>2</v>
      </c>
      <c r="B77" s="22"/>
      <c r="C77" s="50" t="s">
        <v>165</v>
      </c>
      <c r="D77" s="22"/>
      <c r="E77" s="47"/>
      <c r="F77" s="66"/>
      <c r="G77" s="83">
        <f>G20*0.183%</f>
        <v>582707.5465515696</v>
      </c>
      <c r="H77" s="66"/>
      <c r="I77" s="28" t="s">
        <v>166</v>
      </c>
    </row>
    <row r="78" spans="1:9" ht="33">
      <c r="A78" s="22">
        <v>3</v>
      </c>
      <c r="B78" s="22"/>
      <c r="C78" s="50" t="s">
        <v>167</v>
      </c>
      <c r="D78" s="14"/>
      <c r="E78" s="47"/>
      <c r="F78" s="66"/>
      <c r="G78" s="83">
        <f>0.57%*(G67+G56+G20)</f>
        <v>1908572.5948671838</v>
      </c>
      <c r="H78" s="66"/>
      <c r="I78" s="28" t="s">
        <v>78</v>
      </c>
    </row>
    <row r="79" spans="1:9" ht="49.5">
      <c r="A79" s="22">
        <v>4</v>
      </c>
      <c r="B79" s="22"/>
      <c r="C79" s="50" t="s">
        <v>168</v>
      </c>
      <c r="D79" s="14"/>
      <c r="E79" s="47"/>
      <c r="F79" s="66"/>
      <c r="G79" s="83">
        <f>20%*G67</f>
        <v>2516345.8000000003</v>
      </c>
      <c r="H79" s="66"/>
      <c r="I79" s="28" t="s">
        <v>169</v>
      </c>
    </row>
    <row r="80" spans="1:9" ht="16.5">
      <c r="A80" s="14" t="s">
        <v>170</v>
      </c>
      <c r="B80" s="14"/>
      <c r="C80" s="18" t="s">
        <v>178</v>
      </c>
      <c r="D80" s="14"/>
      <c r="E80" s="47"/>
      <c r="F80" s="66"/>
      <c r="G80" s="82">
        <f>SUM(G81:G82)</f>
        <v>32970692.087677237</v>
      </c>
      <c r="H80" s="66"/>
      <c r="I80" s="15"/>
    </row>
    <row r="81" spans="1:9" ht="33">
      <c r="A81" s="22">
        <v>1</v>
      </c>
      <c r="B81" s="22"/>
      <c r="C81" s="23" t="s">
        <v>171</v>
      </c>
      <c r="D81" s="22"/>
      <c r="E81" s="38"/>
      <c r="F81" s="66"/>
      <c r="G81" s="83">
        <f>5%*(G75+G67+G56+G20)</f>
        <v>17049720.870421235</v>
      </c>
      <c r="H81" s="66"/>
      <c r="I81" s="28" t="s">
        <v>221</v>
      </c>
    </row>
    <row r="82" spans="1:9" ht="33">
      <c r="A82" s="22">
        <v>2</v>
      </c>
      <c r="B82" s="22"/>
      <c r="C82" s="23" t="s">
        <v>172</v>
      </c>
      <c r="D82" s="22"/>
      <c r="E82" s="38"/>
      <c r="F82" s="66"/>
      <c r="G82" s="83">
        <f>5%*G20</f>
        <v>15920971.217256002</v>
      </c>
      <c r="H82" s="66"/>
      <c r="I82" s="28" t="s">
        <v>222</v>
      </c>
    </row>
    <row r="83" spans="1:9" s="58" customFormat="1" ht="15.75" customHeight="1">
      <c r="A83" s="118" t="s">
        <v>186</v>
      </c>
      <c r="B83" s="118"/>
      <c r="C83" s="118"/>
      <c r="D83" s="14"/>
      <c r="E83" s="47"/>
      <c r="F83" s="63"/>
      <c r="G83" s="82">
        <f>G80+G75+G67+G56+G20</f>
        <v>373965109.49610186</v>
      </c>
      <c r="H83" s="63"/>
      <c r="I83" s="15"/>
    </row>
    <row r="84" ht="16.5">
      <c r="E84" s="84"/>
    </row>
    <row r="85" ht="16.5">
      <c r="E85" s="84"/>
    </row>
    <row r="86" ht="16.5">
      <c r="E86" s="84"/>
    </row>
    <row r="87" ht="16.5">
      <c r="E87" s="84"/>
    </row>
    <row r="88" ht="16.5">
      <c r="E88" s="84"/>
    </row>
    <row r="89" ht="16.5">
      <c r="E89" s="84"/>
    </row>
    <row r="90" ht="16.5">
      <c r="E90" s="85"/>
    </row>
    <row r="91" ht="16.5">
      <c r="E91" s="86"/>
    </row>
    <row r="92" ht="16.5">
      <c r="E92" s="85"/>
    </row>
    <row r="93" ht="16.5">
      <c r="E93" s="85"/>
    </row>
    <row r="94" ht="16.5">
      <c r="E94" s="85"/>
    </row>
    <row r="95" ht="16.5">
      <c r="E95" s="85"/>
    </row>
    <row r="96" ht="16.5">
      <c r="E96" s="85"/>
    </row>
    <row r="97" ht="16.5">
      <c r="E97" s="84"/>
    </row>
    <row r="98" ht="16.5">
      <c r="E98" s="84"/>
    </row>
    <row r="99" ht="16.5">
      <c r="E99" s="85"/>
    </row>
    <row r="100" ht="16.5">
      <c r="E100" s="87"/>
    </row>
    <row r="101" ht="16.5">
      <c r="E101" s="87"/>
    </row>
  </sheetData>
  <sheetProtection/>
  <mergeCells count="33">
    <mergeCell ref="J13:K13"/>
    <mergeCell ref="H24:H27"/>
    <mergeCell ref="I24:I27"/>
    <mergeCell ref="B11:I11"/>
    <mergeCell ref="B10:I10"/>
    <mergeCell ref="B13:I13"/>
    <mergeCell ref="H18:H19"/>
    <mergeCell ref="I18:I19"/>
    <mergeCell ref="B18:B19"/>
    <mergeCell ref="A3:I3"/>
    <mergeCell ref="B7:I7"/>
    <mergeCell ref="B8:I8"/>
    <mergeCell ref="B9:I9"/>
    <mergeCell ref="A1:I1"/>
    <mergeCell ref="A83:C83"/>
    <mergeCell ref="A2:I2"/>
    <mergeCell ref="I33:I36"/>
    <mergeCell ref="I38:I40"/>
    <mergeCell ref="I42:I44"/>
    <mergeCell ref="I46:I48"/>
    <mergeCell ref="I50:I51"/>
    <mergeCell ref="I53:I54"/>
    <mergeCell ref="A18:A19"/>
    <mergeCell ref="B6:I6"/>
    <mergeCell ref="B12:I12"/>
    <mergeCell ref="B14:I14"/>
    <mergeCell ref="B15:I15"/>
    <mergeCell ref="H57:H66"/>
    <mergeCell ref="H68:H74"/>
    <mergeCell ref="I57:I66"/>
    <mergeCell ref="I68:I74"/>
    <mergeCell ref="C18:C19"/>
    <mergeCell ref="D18:G18"/>
  </mergeCells>
  <hyperlinks>
    <hyperlink ref="I79" r:id="rId1" display="https://vanban.chinhphu.vn/?pageid=27160&amp;docid=203945"/>
  </hyperlinks>
  <printOptions horizontalCentered="1"/>
  <pageMargins left="0.5118110236220472" right="0.5118110236220472" top="0.5511811023622047" bottom="0.5511811023622047" header="0.31496062992125984" footer="0.31496062992125984"/>
  <pageSetup orientation="landscape" paperSize="9" r:id="rId2"/>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tvt</dc:creator>
  <cp:keywords/>
  <dc:description/>
  <cp:lastModifiedBy>tvt</cp:lastModifiedBy>
  <dcterms:created xsi:type="dcterms:W3CDTF">2024-02-21T06:37:58Z</dcterms:created>
  <dcterms:modified xsi:type="dcterms:W3CDTF">2024-05-22T09:38:21Z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